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xr:revisionPtr revIDLastSave="0" documentId="13_ncr:1_{31AFD5CB-C16A-4CC9-999A-8E4083DEEDAD}" xr6:coauthVersionLast="45" xr6:coauthVersionMax="45" xr10:uidLastSave="{00000000-0000-0000-0000-000000000000}"/>
  <bookViews>
    <workbookView xWindow="-110" yWindow="-110" windowWidth="19420" windowHeight="10420" firstSheet="4" activeTab="4" xr2:uid="{00000000-000D-0000-FFFF-FFFF00000000}"/>
  </bookViews>
  <sheets>
    <sheet name="small_intestine_SA_data" sheetId="1" r:id="rId1"/>
    <sheet name="villi_and_crypts_data" sheetId="2" r:id="rId2"/>
    <sheet name="potassium_data" sheetId="8" r:id="rId3"/>
    <sheet name="cellular_mass_conversion" sheetId="9" r:id="rId4"/>
    <sheet name="enterocyte_turnover" sheetId="3" r:id="rId5"/>
    <sheet name="colon_properties" sheetId="4" r:id="rId6"/>
    <sheet name="Nooteboom et al., 2010" sheetId="5" r:id="rId7"/>
    <sheet name="stomach_mucusal_cells_volume" sheetId="6" r:id="rId8"/>
    <sheet name="stomach_properties"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5" i="3" l="1"/>
  <c r="J15" i="3"/>
  <c r="J14" i="3"/>
  <c r="K5" i="3"/>
  <c r="K4" i="3"/>
  <c r="D4" i="8" l="1"/>
  <c r="D3" i="8"/>
  <c r="D2" i="8"/>
  <c r="J18" i="2" l="1"/>
  <c r="G2" i="6"/>
  <c r="C8" i="7" s="1"/>
  <c r="C3" i="7"/>
  <c r="C4" i="7"/>
  <c r="C7" i="7"/>
  <c r="C2" i="7"/>
  <c r="G3" i="6"/>
  <c r="C9" i="7" s="1"/>
  <c r="G4" i="6"/>
  <c r="G5" i="6"/>
  <c r="G6" i="6"/>
  <c r="F2" i="6"/>
  <c r="B8" i="7" s="1"/>
  <c r="F3" i="6"/>
  <c r="B9" i="7" s="1"/>
  <c r="F4" i="6"/>
  <c r="F5" i="6"/>
  <c r="F6" i="6"/>
  <c r="B4" i="4" l="1"/>
  <c r="C4" i="4"/>
  <c r="C3" i="4"/>
  <c r="B3" i="4"/>
  <c r="F11" i="2" l="1"/>
  <c r="E4" i="2"/>
  <c r="E3" i="2"/>
  <c r="C10" i="2"/>
  <c r="C9" i="2"/>
  <c r="C3" i="2"/>
  <c r="J17" i="2"/>
  <c r="J16" i="2"/>
  <c r="J15" i="2"/>
  <c r="J14" i="2"/>
  <c r="J13" i="2"/>
  <c r="J12" i="2"/>
  <c r="J11" i="2"/>
  <c r="J10" i="2"/>
  <c r="J9" i="2"/>
  <c r="J8" i="2"/>
  <c r="J7" i="2"/>
  <c r="J6" i="2"/>
  <c r="J5" i="2"/>
  <c r="J4" i="2"/>
  <c r="J3" i="2"/>
  <c r="J2" i="2"/>
  <c r="D3" i="2"/>
  <c r="D15" i="2"/>
  <c r="F18" i="2"/>
  <c r="D16" i="2"/>
  <c r="D14" i="2"/>
  <c r="D7" i="2"/>
  <c r="D8" i="2"/>
  <c r="E5" i="2"/>
  <c r="D5" i="2"/>
  <c r="E3" i="1"/>
  <c r="E4" i="1"/>
  <c r="E5" i="1" s="1"/>
  <c r="E6" i="1" s="1"/>
  <c r="C3" i="1"/>
  <c r="C4" i="1"/>
  <c r="C5" i="1" s="1"/>
  <c r="C6" i="1" s="1"/>
</calcChain>
</file>

<file path=xl/sharedStrings.xml><?xml version="1.0" encoding="utf-8"?>
<sst xmlns="http://schemas.openxmlformats.org/spreadsheetml/2006/main" count="319" uniqueCount="215">
  <si>
    <t>Valves of Kerckring (plicae)</t>
  </si>
  <si>
    <t>remark:</t>
  </si>
  <si>
    <t>Snyder, 1975</t>
  </si>
  <si>
    <t>Helander &amp; Fändriks, 2014</t>
  </si>
  <si>
    <r>
      <t>SA [m^</t>
    </r>
    <r>
      <rPr>
        <b/>
        <vertAlign val="superscript"/>
        <sz val="11"/>
        <color theme="0"/>
        <rFont val="Calibri"/>
        <family val="2"/>
        <scheme val="minor"/>
      </rPr>
      <t>2</t>
    </r>
    <r>
      <rPr>
        <b/>
        <sz val="11"/>
        <color theme="0"/>
        <rFont val="Calibri"/>
        <family val="2"/>
        <scheme val="minor"/>
      </rPr>
      <t>]</t>
    </r>
  </si>
  <si>
    <r>
      <t>revised SA [m^</t>
    </r>
    <r>
      <rPr>
        <b/>
        <vertAlign val="superscript"/>
        <sz val="11"/>
        <color theme="0"/>
        <rFont val="Calibri"/>
        <family val="2"/>
        <scheme val="minor"/>
      </rPr>
      <t>2</t>
    </r>
    <r>
      <rPr>
        <b/>
        <sz val="11"/>
        <color theme="0"/>
        <rFont val="Calibri"/>
        <family val="2"/>
        <scheme val="minor"/>
      </rPr>
      <t xml:space="preserve">] </t>
    </r>
  </si>
  <si>
    <t>factor 2014</t>
  </si>
  <si>
    <t>factor 1975</t>
  </si>
  <si>
    <t>level</t>
  </si>
  <si>
    <t>Villi</t>
  </si>
  <si>
    <t>Microvilli</t>
  </si>
  <si>
    <t>cylinder approximation</t>
  </si>
  <si>
    <t>parameter</t>
  </si>
  <si>
    <t>[8]</t>
  </si>
  <si>
    <t>[14]</t>
  </si>
  <si>
    <t>rabbit</t>
  </si>
  <si>
    <t>rat</t>
  </si>
  <si>
    <t>pigs</t>
  </si>
  <si>
    <t>human</t>
  </si>
  <si>
    <t>dog</t>
  </si>
  <si>
    <t>entrocytes/villus</t>
  </si>
  <si>
    <t>No. of villi /mm (1-d section)</t>
  </si>
  <si>
    <r>
      <t>villus density [vill./m</t>
    </r>
    <r>
      <rPr>
        <vertAlign val="superscript"/>
        <sz val="11"/>
        <color theme="1"/>
        <rFont val="Calibri"/>
        <family val="2"/>
        <scheme val="minor"/>
      </rPr>
      <t>2</t>
    </r>
    <r>
      <rPr>
        <sz val="11"/>
        <color theme="1"/>
        <rFont val="Calibri"/>
        <family val="2"/>
        <charset val="177"/>
        <scheme val="minor"/>
      </rPr>
      <t>]</t>
    </r>
  </si>
  <si>
    <r>
      <t>villus density - Ileum [vill./m</t>
    </r>
    <r>
      <rPr>
        <vertAlign val="superscript"/>
        <sz val="11"/>
        <color theme="1"/>
        <rFont val="Calibri"/>
        <family val="2"/>
        <scheme val="minor"/>
      </rPr>
      <t>2</t>
    </r>
    <r>
      <rPr>
        <sz val="11"/>
        <color theme="1"/>
        <rFont val="Calibri"/>
        <family val="2"/>
        <charset val="177"/>
        <scheme val="minor"/>
      </rPr>
      <t>]</t>
    </r>
  </si>
  <si>
    <r>
      <t>villus density - Jejunum [vill./m</t>
    </r>
    <r>
      <rPr>
        <vertAlign val="superscript"/>
        <sz val="11"/>
        <color theme="1"/>
        <rFont val="Calibri"/>
        <family val="2"/>
        <scheme val="minor"/>
      </rPr>
      <t>2</t>
    </r>
    <r>
      <rPr>
        <sz val="11"/>
        <color theme="1"/>
        <rFont val="Calibri"/>
        <family val="2"/>
        <charset val="177"/>
        <scheme val="minor"/>
      </rPr>
      <t>]</t>
    </r>
  </si>
  <si>
    <t>No. of cryptes /mm (1-d section)</t>
  </si>
  <si>
    <r>
      <t>Crypts density [crypts/m</t>
    </r>
    <r>
      <rPr>
        <vertAlign val="superscript"/>
        <sz val="11"/>
        <color theme="1"/>
        <rFont val="Calibri"/>
        <family val="2"/>
        <scheme val="minor"/>
      </rPr>
      <t>2</t>
    </r>
    <r>
      <rPr>
        <sz val="11"/>
        <color theme="1"/>
        <rFont val="Calibri"/>
        <family val="2"/>
        <charset val="177"/>
        <scheme val="minor"/>
      </rPr>
      <t>]</t>
    </r>
  </si>
  <si>
    <t>crypt to villi ratio</t>
  </si>
  <si>
    <t>[9],[10]</t>
  </si>
  <si>
    <t>[6], [7]</t>
  </si>
  <si>
    <t>sources</t>
  </si>
  <si>
    <t>#</t>
  </si>
  <si>
    <t>ab.</t>
  </si>
  <si>
    <t>source</t>
  </si>
  <si>
    <t>Crosby, 1961</t>
  </si>
  <si>
    <t>Crosby WH. A Concept of the Pathogenesis of Anemia Applied to Disorders of the Intestinal Mucosa. Am J Dig Dis 1961;June:492–8.</t>
  </si>
  <si>
    <t>Snyder et al., 1975</t>
  </si>
  <si>
    <t>Snyder WS, Cook MJ, Nasset ES, Karhausen LR, Parry Howells G, Tipton IH. Report of the Task Group on Reference Man. vol. 23. Pergamon Press: Oxford; 1975. doi:10.1016/S0074-2740(75)80015-8</t>
  </si>
  <si>
    <t>Helander HF, Fändriks L. Surface area of the digestive tract – revisited. Scand J Gastroenterol 2014;49:681–9. doi:10.3109/00365521.2014.898326</t>
  </si>
  <si>
    <t>Snipes, 1997</t>
  </si>
  <si>
    <t>Snipes RL. Intestinal Absorptive Surface in Mammals of Different Sizes. Berlin: Springer -Verlag; 1997.</t>
  </si>
  <si>
    <t>Bianconi et al., 2013</t>
  </si>
  <si>
    <t>Bianconi E, Piovesan A, Facchin F, Beraudi A, Casadei R, Frabetti F, et al. An estimation of the number of cells in the human body. Ann Hum Biol 2013;40:463–71. doi:10.3109/03014460.2013.807878.</t>
  </si>
  <si>
    <t>Lauronen et al.,1998</t>
  </si>
  <si>
    <t>Lauronen J, Pakarinen MP, Kuusanmäki P, Savilahti E, Vento P, Paavonen T, et al. Intestinal adaptation after massive proximal small-bowel resection in the pig. Scand J Gastroenterol 1998;33:152–8. doi:10.1080/00365529850166879.</t>
  </si>
  <si>
    <t>Mekbungwan et al., 2002</t>
  </si>
  <si>
    <t xml:space="preserve">	Mekbungwan A, Yamauchi K, Thongwittaya N. Intestinal morphology and enteral nutrient absorption of pigeon pea seed meal in piglets. Anim Sci J 2002;73:509–16. doi:10.1046/j.1344-3941.2002.00070.x.</t>
  </si>
  <si>
    <t>Hyun et al., 1995</t>
  </si>
  <si>
    <t xml:space="preserve">	Hyun CS, Chen CWP, Shinowara NL, Palaia T, Fallick FS, Martello LA, et al. Morphological factors influencing transepithelial conductance in a rabbit model of ileitis. Gastroenterology 1995;109:13–23. doi:10.1016/0016-5085(95)90264-3.</t>
  </si>
  <si>
    <t>Tasman-James et al., 1982</t>
  </si>
  <si>
    <t>Tasman-James C. OL and JAL. Semipurified dietary fiber and small bowel morphology in rats. Dig Dis Sci 1982;27:519–24.</t>
  </si>
  <si>
    <t>Hosoyamada et al., 2005</t>
  </si>
  <si>
    <t xml:space="preserve">	Hosoyamada Y, Sakai T. Structural and mechanical architecture of the intestinal villi and crypts in the rat intestine: Integrative reevaluation from ultrastructural analysis. Anat Embryol (Berl) 2005;210:1–12. doi:10.1007/s00429-005-0011-y.</t>
  </si>
  <si>
    <t>Marsh &amp; Swift, 1969</t>
  </si>
  <si>
    <t>Marsh MN, Swift J a. A study of the small intestinal mucosa using the scanning electron microscope. Gut 1969;10:940–9. doi:10.1136/gut.10.11.940</t>
  </si>
  <si>
    <t>Loehry &amp; Creamer, 1969</t>
  </si>
  <si>
    <t>Loehry CA, Creamer B. Three-dimensional structure of the human small intestinal mucosa in health and disease. Gut 1969;10:6–12.</t>
  </si>
  <si>
    <t>Bohm &amp; Von Davidoff, 1928</t>
  </si>
  <si>
    <t>Bohm AA, Von Davidoff M. Bloom and Fawcett: A Textbook of Histology. second. Philadelphia: W. B. Saunders &amp; Company; 1928.</t>
  </si>
  <si>
    <t>Krogh, 1922</t>
  </si>
  <si>
    <t>Krogh A. The Anatomy and Physiology of Capillaries. New Haven: Yale University Press; 1922</t>
  </si>
  <si>
    <t>Cheng &amp; Leblond, 1974</t>
  </si>
  <si>
    <t>Cheng H, Leblond CP. Origin, differentiation and renewal of the four main epithelial cell types in the mouse small intestine V. Unitarian theory of the origin of the four epithelial cell types. Am J Anat 1974;141:537–61. doi:10.1002/aja.1001410407.</t>
  </si>
  <si>
    <t>Darwich et al., 2014</t>
  </si>
  <si>
    <t>Darwich AS, Aslam U, Ashcroft DM, Rostami-Hodjegan A. Meta-analysis of the turnover of intestinal epithelia in preclinical animal species and humans. Drug Metab Dispos 2014;42:2016–22. doi:10.1124/dmd.114.058404.</t>
  </si>
  <si>
    <t>Segment</t>
  </si>
  <si>
    <t>SD</t>
  </si>
  <si>
    <t>N</t>
  </si>
  <si>
    <t>Additional information</t>
  </si>
  <si>
    <t>Method</t>
  </si>
  <si>
    <t>References</t>
  </si>
  <si>
    <t>Duodenum</t>
  </si>
  <si>
    <t>Individual 1</t>
  </si>
  <si>
    <r>
      <t xml:space="preserve">H-Thymidine, </t>
    </r>
    <r>
      <rPr>
        <i/>
        <sz val="11"/>
        <color theme="1"/>
        <rFont val="Calibri"/>
        <family val="2"/>
        <scheme val="minor"/>
      </rPr>
      <t>in vivo</t>
    </r>
  </si>
  <si>
    <t>(Macdonald et al., 1964)</t>
  </si>
  <si>
    <t>NA</t>
  </si>
  <si>
    <t>Histological study</t>
  </si>
  <si>
    <t>(Bertalanffy and Nagy, 1961)</t>
  </si>
  <si>
    <t>(Weinstein, 1974)</t>
  </si>
  <si>
    <t>Jejunum</t>
  </si>
  <si>
    <t>(Shorter et al., 1964)</t>
  </si>
  <si>
    <t>Ileum</t>
  </si>
  <si>
    <t>(Bullen et al., 2006)</t>
  </si>
  <si>
    <t>(Lipkin et al., 1963b)</t>
  </si>
  <si>
    <r>
      <t xml:space="preserve">epithelial cells in </t>
    </r>
    <r>
      <rPr>
        <b/>
        <sz val="11"/>
        <color theme="1"/>
        <rFont val="Calibri"/>
        <family val="2"/>
        <scheme val="minor"/>
      </rPr>
      <t xml:space="preserve">villi  </t>
    </r>
    <r>
      <rPr>
        <sz val="11"/>
        <color theme="1"/>
        <rFont val="Calibri"/>
        <family val="2"/>
        <scheme val="minor"/>
      </rPr>
      <t>[per mum]</t>
    </r>
  </si>
  <si>
    <r>
      <rPr>
        <b/>
        <sz val="11"/>
        <color theme="1"/>
        <rFont val="Calibri"/>
        <family val="2"/>
        <scheme val="minor"/>
      </rPr>
      <t>Crypts</t>
    </r>
    <r>
      <rPr>
        <sz val="11"/>
        <color theme="1"/>
        <rFont val="Calibri"/>
        <family val="2"/>
        <charset val="177"/>
        <scheme val="minor"/>
      </rPr>
      <t xml:space="preserve"> cells  [per mum]</t>
    </r>
  </si>
  <si>
    <t>epithelial cells diameter [mum]</t>
  </si>
  <si>
    <r>
      <t>calculated epithelial cells SA [mum</t>
    </r>
    <r>
      <rPr>
        <vertAlign val="superscript"/>
        <sz val="11"/>
        <color theme="1"/>
        <rFont val="Calibri"/>
        <family val="2"/>
        <scheme val="minor"/>
      </rPr>
      <t>2</t>
    </r>
    <r>
      <rPr>
        <sz val="11"/>
        <color theme="1"/>
        <rFont val="Calibri"/>
        <family val="2"/>
        <charset val="177"/>
        <scheme val="minor"/>
      </rPr>
      <t>]</t>
    </r>
  </si>
  <si>
    <r>
      <t>epithelial cell volume [mum</t>
    </r>
    <r>
      <rPr>
        <vertAlign val="superscript"/>
        <sz val="11"/>
        <color theme="1"/>
        <rFont val="Calibri"/>
        <family val="2"/>
        <scheme val="minor"/>
      </rPr>
      <t>3</t>
    </r>
    <r>
      <rPr>
        <sz val="11"/>
        <color theme="1"/>
        <rFont val="Calibri"/>
        <family val="2"/>
        <charset val="177"/>
        <scheme val="minor"/>
      </rPr>
      <t>]</t>
    </r>
  </si>
  <si>
    <r>
      <t>villus surface area  [mum</t>
    </r>
    <r>
      <rPr>
        <vertAlign val="superscript"/>
        <sz val="11"/>
        <color theme="1"/>
        <rFont val="Calibri"/>
        <family val="2"/>
        <scheme val="minor"/>
      </rPr>
      <t>2</t>
    </r>
    <r>
      <rPr>
        <sz val="11"/>
        <color theme="1"/>
        <rFont val="Calibri"/>
        <family val="2"/>
        <charset val="177"/>
        <scheme val="minor"/>
      </rPr>
      <t>]</t>
    </r>
  </si>
  <si>
    <t>villi height [mum]</t>
  </si>
  <si>
    <t>villi diameter [mum]</t>
  </si>
  <si>
    <t>crypts depths [mum]</t>
  </si>
  <si>
    <t>crypts diameter [mum]</t>
  </si>
  <si>
    <t>value</t>
  </si>
  <si>
    <t>units</t>
  </si>
  <si>
    <t>kg</t>
  </si>
  <si>
    <t>crypt density</t>
  </si>
  <si>
    <t>1/cm^2</t>
  </si>
  <si>
    <t>Qi et al., 2008</t>
  </si>
  <si>
    <t>source:</t>
  </si>
  <si>
    <t>Qi X, Pan Y, Hu Z, Kang W, Willis JE, Olowe K, et al. Automated quantification of colonic crypt morphology using integrated microscopy and optical coherence tomography. J Biomed Opt. 2008;13: 054055. doi:10.1117/1.2993323</t>
  </si>
  <si>
    <t>Helander and Fandriks, 2014</t>
  </si>
  <si>
    <t>comments</t>
  </si>
  <si>
    <t>colon surface area</t>
  </si>
  <si>
    <t>cm^2</t>
  </si>
  <si>
    <t>estimated the error based on the values in the source</t>
  </si>
  <si>
    <t>Nooteboom et al., 2010</t>
  </si>
  <si>
    <t>mean crypt cells</t>
  </si>
  <si>
    <t>patient</t>
  </si>
  <si>
    <t>cells/crypt</t>
  </si>
  <si>
    <t>cells in crypt</t>
  </si>
  <si>
    <t>Mehl, 1991</t>
  </si>
  <si>
    <t>cells in rat colon</t>
  </si>
  <si>
    <t>cells</t>
  </si>
  <si>
    <t>rat mass</t>
  </si>
  <si>
    <t>man mass</t>
  </si>
  <si>
    <t>Sub segment</t>
  </si>
  <si>
    <t>H-Thymidine, in vivo</t>
  </si>
  <si>
    <t>Stomach</t>
  </si>
  <si>
    <t>BrdUrd, in vivo</t>
  </si>
  <si>
    <t>Gastric body</t>
  </si>
  <si>
    <t>Gastric antrum</t>
  </si>
  <si>
    <t>(Patel et al., 1993)</t>
  </si>
  <si>
    <t>(Wright et al., 1977)</t>
  </si>
  <si>
    <t>Colon</t>
  </si>
  <si>
    <t>(Lipkin et al., 1963a)</t>
  </si>
  <si>
    <t>(Potten et al., 1992)</t>
  </si>
  <si>
    <t>(Lipkin et al., 1969)</t>
  </si>
  <si>
    <t>(Bleiberg and Galand, 1976)</t>
  </si>
  <si>
    <t>Small intestine</t>
  </si>
  <si>
    <t>S</t>
  </si>
  <si>
    <t>P1</t>
  </si>
  <si>
    <t>P2</t>
  </si>
  <si>
    <t>P3</t>
  </si>
  <si>
    <t>P4</t>
  </si>
  <si>
    <t>location</t>
  </si>
  <si>
    <t>fl</t>
  </si>
  <si>
    <t>mean mucus volume density (%)</t>
  </si>
  <si>
    <t xml:space="preserve">SEM mucus volume density (%) </t>
  </si>
  <si>
    <t>mean mucus volume per cell (fl)</t>
  </si>
  <si>
    <t>SEM mucus volume per cell (fl)</t>
  </si>
  <si>
    <t>mean cell volume (fl)</t>
  </si>
  <si>
    <t>SEM cell volume (fl)</t>
  </si>
  <si>
    <t>Nooteboom M, Johnson R, Taylor RW, Wright NA, Lightowlers RN, Kirkwood TBL, et al. Age-associated mitochondrial DNA mutations lead to small but significant changes in cell proliferation and apoptosis in human colonic crypts. Aging Cell. 2010;9: 96–99. doi:10.1111/j.1474-9726.2009.00531.x</t>
  </si>
  <si>
    <t>Helander HF, Fändriks L. Surface area of the digestive tract – revisited. Scand J Gastroenterol. 2014;49: 681–689. doi:10.3109/00365521.2014.898326</t>
  </si>
  <si>
    <t>Doidge JM, Millar SJ, Yeomans ND. Changes in volume of stored mucus in pit and surface cells during their maturation and migration in the antral mucosa of the mouse. Cell Tissue Res. 1982;227: 459–463. doi:10.1007/BF00210900</t>
  </si>
  <si>
    <t>Hogben CAM, H. KT, Woodward PA, Sill AJ. Quantitative histology of the gastric mucosa: Man, dog, cat, guinea pig, and frog. Gastroenterology. Elsevier Masson SAS; 1974;67: 1143–1154. doi:10.1016/S0016-5085(19)32700-3</t>
  </si>
  <si>
    <t>Mehl LE. A mathematical computer simulation model for the development of colonic polyps and colon cancer. J Surg Oncol. 1991;47: 243–252. doi:10.1002/jso.2930470409</t>
  </si>
  <si>
    <t>Hogben et al., 1974</t>
  </si>
  <si>
    <t>%</t>
  </si>
  <si>
    <t>g</t>
  </si>
  <si>
    <t>total cells as %  of corpus mucosa  mass</t>
  </si>
  <si>
    <t>ICRP. Basic anatomical and physiological data for use in radiological protection: reference values. ICRP Publication 89 [Internet]. Annals of the ICRP. Pergamon; 2002. doi:10.1016/S0146-6453(03)00002-2</t>
  </si>
  <si>
    <t>ICRP, 2002</t>
  </si>
  <si>
    <t>derived SEM from SD/sqrt(n)</t>
  </si>
  <si>
    <t>Doidge et al., 1982</t>
  </si>
  <si>
    <t>total stomach mass</t>
  </si>
  <si>
    <t xml:space="preserve">taken from surface of mucousa of mice. Derived from sourcs values </t>
  </si>
  <si>
    <t xml:space="preserve">taken as average of mucusal cells over location in pits (mucousa of mice.) Derived from sourcs values </t>
  </si>
  <si>
    <t>mucous surface cells % of corpus mucosa  mass</t>
  </si>
  <si>
    <t>mucous neck cell % of corpus mucosa  mass</t>
  </si>
  <si>
    <t>gastric corpus as % of stomach weight</t>
  </si>
  <si>
    <t>corpus mucusa as % of stomach weight</t>
  </si>
  <si>
    <t>volume of mucous surface cells</t>
  </si>
  <si>
    <t>volume of mucous neck cells</t>
  </si>
  <si>
    <r>
      <t>epithelial cell volume error [mum</t>
    </r>
    <r>
      <rPr>
        <vertAlign val="superscript"/>
        <sz val="11"/>
        <color theme="1"/>
        <rFont val="Calibri"/>
        <family val="2"/>
        <scheme val="minor"/>
      </rPr>
      <t>3</t>
    </r>
    <r>
      <rPr>
        <sz val="11"/>
        <color theme="1"/>
        <rFont val="Calibri"/>
        <family val="2"/>
        <charset val="177"/>
        <scheme val="minor"/>
      </rPr>
      <t>]</t>
    </r>
  </si>
  <si>
    <r>
      <t>[11],</t>
    </r>
    <r>
      <rPr>
        <b/>
        <i/>
        <sz val="11"/>
        <rFont val="Calibri"/>
        <family val="2"/>
        <scheme val="minor"/>
      </rPr>
      <t xml:space="preserve"> </t>
    </r>
    <r>
      <rPr>
        <b/>
        <u/>
        <sz val="11"/>
        <rFont val="Calibri"/>
        <family val="2"/>
        <scheme val="minor"/>
      </rPr>
      <t>[12]</t>
    </r>
    <r>
      <rPr>
        <b/>
        <sz val="11"/>
        <rFont val="Calibri"/>
        <family val="2"/>
        <scheme val="minor"/>
      </rPr>
      <t xml:space="preserve"> , </t>
    </r>
    <r>
      <rPr>
        <b/>
        <i/>
        <sz val="11"/>
        <rFont val="Calibri"/>
        <family val="2"/>
        <scheme val="minor"/>
      </rPr>
      <t>[13],[17]</t>
    </r>
  </si>
  <si>
    <t>Crowe PT, Marsh MN. Morphometric analysis of small intestinal mucosa IV. Determining cell volumes. Virchows Arch A Pathol Anat. 1993;422: 459–466</t>
  </si>
  <si>
    <t>Crow and Marsh, 1993</t>
  </si>
  <si>
    <t>segment</t>
  </si>
  <si>
    <t>pottasium [g]</t>
  </si>
  <si>
    <t>pottasium SD [g]</t>
  </si>
  <si>
    <t>total mass [g]</t>
  </si>
  <si>
    <t>potassium molar mass</t>
  </si>
  <si>
    <t>g/mol</t>
  </si>
  <si>
    <t>cell mass/potassium conc.</t>
  </si>
  <si>
    <t>kg/(mmol/kg)</t>
  </si>
  <si>
    <t>Wang et al., 2004</t>
  </si>
  <si>
    <t>from:</t>
  </si>
  <si>
    <t>comment</t>
  </si>
  <si>
    <t>True turnover (days)</t>
  </si>
  <si>
    <t>SD TO</t>
  </si>
  <si>
    <t>True method</t>
  </si>
  <si>
    <t>mitotic rate</t>
  </si>
  <si>
    <t>mitotic rate SD</t>
  </si>
  <si>
    <t>measured migration time to surface</t>
  </si>
  <si>
    <t>unclear what  could be said about the stomach</t>
  </si>
  <si>
    <t>taken cell cycle instead of turnover, estimating turnover from crypt labelling index</t>
  </si>
  <si>
    <t>normal mucosa adjacent to carcinoma. Mitotic arrest. Results given are potential doubling time, based on 2 time points. Maybe can serve to verifiy the overall turnover using Patel growth fraction</t>
  </si>
  <si>
    <t>-</t>
  </si>
  <si>
    <t>metaphase arrest</t>
  </si>
  <si>
    <t>measured migration time to tip. Gave the time of maximal labeling</t>
  </si>
  <si>
    <t>results based M phase length, assuming it represent the entire population</t>
  </si>
  <si>
    <t>Based on their stufy from a year earlier. Cell cycle time, not turnover. Relevant to 14% of the column that constitute the proliferative compartment. Present migration times of 4-6 days to the tip of the villus</t>
  </si>
  <si>
    <t>review</t>
  </si>
  <si>
    <t>measured 1/100 cells enters S phase [per hour + labelled cell reach the villus tip in 120h</t>
  </si>
  <si>
    <t>measured the number of shedding event over numerus villi. Calculated 80 cells/villus/24h in but adjusted to 1650 cells/villus/24hr</t>
  </si>
  <si>
    <t>80h migration time, could be compatiable, assuming 1-2 day at the crypt earlier</t>
  </si>
  <si>
    <t>Darwich number is the one that was given for cell cycle. The estiamte cell renewal is proceed in 1.2/100 cells per hour. And colum contain about 85-100 cells</t>
  </si>
  <si>
    <t>turnover of 1% per hour in the crypt, migration rate of 1-2 days in the colon</t>
  </si>
  <si>
    <t>assuming s phase of 8.6, labeling index for entire crypt</t>
  </si>
  <si>
    <t>17% labeling index, Sphase=11.2h</t>
  </si>
  <si>
    <r>
      <t xml:space="preserve">Macdonald, W. C., Trier, J. S. &amp; Everett, N. B. Cell Proliferation and Migration in the Stomach, Duodenum, and Rectum of Man: Radioautographic Studies. </t>
    </r>
    <r>
      <rPr>
        <i/>
        <sz val="12"/>
        <color theme="1"/>
        <rFont val="Times New Roman"/>
        <family val="1"/>
      </rPr>
      <t>Gastroenterology</t>
    </r>
    <r>
      <rPr>
        <sz val="12"/>
        <color theme="1"/>
        <rFont val="Times New Roman"/>
        <family val="1"/>
      </rPr>
      <t xml:space="preserve"> </t>
    </r>
    <r>
      <rPr>
        <b/>
        <sz val="12"/>
        <color theme="1"/>
        <rFont val="Times New Roman"/>
        <family val="1"/>
      </rPr>
      <t>46</t>
    </r>
    <r>
      <rPr>
        <sz val="12"/>
        <color theme="1"/>
        <rFont val="Times New Roman"/>
        <family val="1"/>
      </rPr>
      <t>, 405–417 (1964).</t>
    </r>
  </si>
  <si>
    <r>
      <t xml:space="preserve">Lipkin, M., Bell, B. &amp; Sherlock, P. Cell Proliferation Kinetics in the Gastrointestinal Tract of Man. I. Cell Renewal in Colon, and Rectum. </t>
    </r>
    <r>
      <rPr>
        <i/>
        <sz val="12"/>
        <color theme="1"/>
        <rFont val="Times New Roman"/>
        <family val="1"/>
      </rPr>
      <t>J. Clin. Invest.</t>
    </r>
    <r>
      <rPr>
        <sz val="12"/>
        <color theme="1"/>
        <rFont val="Times New Roman"/>
        <family val="1"/>
      </rPr>
      <t xml:space="preserve"> </t>
    </r>
    <r>
      <rPr>
        <b/>
        <sz val="12"/>
        <color theme="1"/>
        <rFont val="Times New Roman"/>
        <family val="1"/>
      </rPr>
      <t>42</t>
    </r>
    <r>
      <rPr>
        <sz val="12"/>
        <color theme="1"/>
        <rFont val="Times New Roman"/>
        <family val="1"/>
      </rPr>
      <t>, 767–776 (1963).</t>
    </r>
  </si>
  <si>
    <r>
      <t xml:space="preserve">Lipkin, M., Sherlock, P. &amp; Bell, B. Cell Proliferation Kinetics in the Gastrointestinal Tract of Man: II. Cell Renewal in Stomach, Ileum, Colon, and Rectum. </t>
    </r>
    <r>
      <rPr>
        <i/>
        <sz val="12"/>
        <color theme="1"/>
        <rFont val="Times New Roman"/>
        <family val="1"/>
      </rPr>
      <t>Gastroenterology</t>
    </r>
    <r>
      <rPr>
        <sz val="12"/>
        <color theme="1"/>
        <rFont val="Times New Roman"/>
        <family val="1"/>
      </rPr>
      <t xml:space="preserve"> </t>
    </r>
    <r>
      <rPr>
        <b/>
        <sz val="12"/>
        <color theme="1"/>
        <rFont val="Times New Roman"/>
        <family val="1"/>
      </rPr>
      <t>45</t>
    </r>
    <r>
      <rPr>
        <sz val="12"/>
        <color theme="1"/>
        <rFont val="Times New Roman"/>
        <family val="1"/>
      </rPr>
      <t>, 721–729 (1963).</t>
    </r>
  </si>
  <si>
    <r>
      <t xml:space="preserve">Bertalanffy, F. D. &amp; Nagy, K. P. Mitotic activity and renewal rate of the epithelial cells of human duodenum. </t>
    </r>
    <r>
      <rPr>
        <i/>
        <sz val="12"/>
        <color theme="1"/>
        <rFont val="Times New Roman"/>
        <family val="1"/>
      </rPr>
      <t>Cells Tissues Organs</t>
    </r>
    <r>
      <rPr>
        <sz val="12"/>
        <color theme="1"/>
        <rFont val="Times New Roman"/>
        <family val="1"/>
      </rPr>
      <t xml:space="preserve"> </t>
    </r>
    <r>
      <rPr>
        <b/>
        <sz val="12"/>
        <color theme="1"/>
        <rFont val="Times New Roman"/>
        <family val="1"/>
      </rPr>
      <t>45</t>
    </r>
    <r>
      <rPr>
        <sz val="12"/>
        <color theme="1"/>
        <rFont val="Times New Roman"/>
        <family val="1"/>
      </rPr>
      <t>, 362–370 (1961).</t>
    </r>
  </si>
  <si>
    <r>
      <t xml:space="preserve">Weinstein, W. M. Epithelial cell renewal of the small intestinal mucosa. </t>
    </r>
    <r>
      <rPr>
        <i/>
        <sz val="12"/>
        <color theme="1"/>
        <rFont val="Times New Roman"/>
        <family val="1"/>
      </rPr>
      <t>Med. Clin. North Am.</t>
    </r>
    <r>
      <rPr>
        <sz val="12"/>
        <color theme="1"/>
        <rFont val="Times New Roman"/>
        <family val="1"/>
      </rPr>
      <t xml:space="preserve"> </t>
    </r>
    <r>
      <rPr>
        <b/>
        <sz val="12"/>
        <color theme="1"/>
        <rFont val="Times New Roman"/>
        <family val="1"/>
      </rPr>
      <t>58</t>
    </r>
    <r>
      <rPr>
        <sz val="12"/>
        <color theme="1"/>
        <rFont val="Times New Roman"/>
        <family val="1"/>
      </rPr>
      <t>, 1375–1386 (1974).</t>
    </r>
  </si>
  <si>
    <r>
      <t xml:space="preserve">Shorter, R. G., Moertel, C. G., Titus, J. L. &amp; Reitemeier, R. J. Cell kinetics in the jejunum and rectum of man. </t>
    </r>
    <r>
      <rPr>
        <i/>
        <sz val="12"/>
        <color theme="1"/>
        <rFont val="Times New Roman"/>
        <family val="1"/>
      </rPr>
      <t>Am. J. Dig. Dis.</t>
    </r>
    <r>
      <rPr>
        <sz val="12"/>
        <color theme="1"/>
        <rFont val="Times New Roman"/>
        <family val="1"/>
      </rPr>
      <t xml:space="preserve"> </t>
    </r>
    <r>
      <rPr>
        <b/>
        <sz val="12"/>
        <color theme="1"/>
        <rFont val="Times New Roman"/>
        <family val="1"/>
      </rPr>
      <t>9</t>
    </r>
    <r>
      <rPr>
        <sz val="12"/>
        <color theme="1"/>
        <rFont val="Times New Roman"/>
        <family val="1"/>
      </rPr>
      <t>, 760–763 (1964).</t>
    </r>
  </si>
  <si>
    <r>
      <t xml:space="preserve">Potten, C. S., Kellett, M., Rew, D. A. &amp; Roberts, S. A. Proliferation in human gastrointesinal epithelium using bromodeoxyuridine in vivo: Data for different sites, proximity to a tumour, and polyposis coli. </t>
    </r>
    <r>
      <rPr>
        <i/>
        <sz val="12"/>
        <color theme="1"/>
        <rFont val="Times New Roman"/>
        <family val="1"/>
      </rPr>
      <t>Gut</t>
    </r>
    <r>
      <rPr>
        <sz val="12"/>
        <color theme="1"/>
        <rFont val="Times New Roman"/>
        <family val="1"/>
      </rPr>
      <t xml:space="preserve"> </t>
    </r>
    <r>
      <rPr>
        <b/>
        <sz val="12"/>
        <color theme="1"/>
        <rFont val="Times New Roman"/>
        <family val="1"/>
      </rPr>
      <t>33</t>
    </r>
    <r>
      <rPr>
        <sz val="12"/>
        <color theme="1"/>
        <rFont val="Times New Roman"/>
        <family val="1"/>
      </rPr>
      <t>, 524–529 (1992).</t>
    </r>
  </si>
  <si>
    <r>
      <t xml:space="preserve">Bleiberg, H. &amp; Galand, P. In Vitro Autoradiographic Determination of Cell Kinetic Parameters in Adenocarcinomas and Adjacent Healthy Mucosa of the Human Colon and Rectum. </t>
    </r>
    <r>
      <rPr>
        <i/>
        <sz val="12"/>
        <color theme="1"/>
        <rFont val="Times New Roman"/>
        <family val="1"/>
      </rPr>
      <t>Cancer Res.</t>
    </r>
    <r>
      <rPr>
        <sz val="12"/>
        <color theme="1"/>
        <rFont val="Times New Roman"/>
        <family val="1"/>
      </rPr>
      <t xml:space="preserve"> </t>
    </r>
    <r>
      <rPr>
        <b/>
        <sz val="12"/>
        <color theme="1"/>
        <rFont val="Times New Roman"/>
        <family val="1"/>
      </rPr>
      <t>36</t>
    </r>
    <r>
      <rPr>
        <sz val="12"/>
        <color theme="1"/>
        <rFont val="Times New Roman"/>
        <family val="1"/>
      </rPr>
      <t>, 325–328 (1976).</t>
    </r>
  </si>
  <si>
    <r>
      <t xml:space="preserve">Patel, S. </t>
    </r>
    <r>
      <rPr>
        <i/>
        <sz val="12"/>
        <color theme="1"/>
        <rFont val="Calibri"/>
        <family val="2"/>
        <scheme val="minor"/>
      </rPr>
      <t>et al.</t>
    </r>
    <r>
      <rPr>
        <sz val="12"/>
        <color theme="1"/>
        <rFont val="Calibri"/>
        <family val="2"/>
        <scheme val="minor"/>
      </rPr>
      <t xml:space="preserve"> Study of the proliferation in human gastric mucosa after in vivo bromodeoxyuridine labelling. </t>
    </r>
    <r>
      <rPr>
        <i/>
        <sz val="12"/>
        <color theme="1"/>
        <rFont val="Calibri"/>
        <family val="2"/>
        <scheme val="minor"/>
      </rPr>
      <t>Gut</t>
    </r>
    <r>
      <rPr>
        <sz val="12"/>
        <color theme="1"/>
        <rFont val="Calibri"/>
        <family val="2"/>
        <scheme val="minor"/>
      </rPr>
      <t xml:space="preserve"> </t>
    </r>
    <r>
      <rPr>
        <b/>
        <sz val="12"/>
        <color theme="1"/>
        <rFont val="Calibri"/>
        <family val="2"/>
        <scheme val="minor"/>
      </rPr>
      <t>34</t>
    </r>
    <r>
      <rPr>
        <sz val="12"/>
        <color theme="1"/>
        <rFont val="Calibri"/>
        <family val="2"/>
        <scheme val="minor"/>
      </rPr>
      <t>, 893–896 (1993).</t>
    </r>
  </si>
  <si>
    <t>Darwich turnover (Days)</t>
  </si>
  <si>
    <t>increased SD to include error in S phase length</t>
  </si>
  <si>
    <t>increased SD to include uncertainty invovled in determining the time of maximal shedding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</si>
</sst>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E+00"/>
    <numFmt numFmtId="166" formatCode="0.0E+00"/>
    <numFmt numFmtId="167" formatCode="0.0%"/>
  </numFmts>
  <fonts count="21" x14ac:knownFonts="1">
    <font>
      <sz val="11"/>
      <color theme="1"/>
      <name val="Calibri"/>
      <family val="2"/>
      <scheme val="minor"/>
    </font>
    <font>
      <b/>
      <sz val="11"/>
      <color theme="0"/>
      <name val="Calibri"/>
      <family val="2"/>
      <scheme val="minor"/>
    </font>
    <font>
      <sz val="11"/>
      <color theme="1"/>
      <name val="Calibri"/>
      <family val="2"/>
      <charset val="177"/>
      <scheme val="minor"/>
    </font>
    <font>
      <b/>
      <vertAlign val="superscript"/>
      <sz val="11"/>
      <color theme="0"/>
      <name val="Calibri"/>
      <family val="2"/>
      <scheme val="minor"/>
    </font>
    <font>
      <b/>
      <sz val="11"/>
      <color theme="1"/>
      <name val="Calibri"/>
      <family val="2"/>
      <scheme val="minor"/>
    </font>
    <font>
      <b/>
      <sz val="11"/>
      <color theme="0"/>
      <name val="Calibri"/>
      <family val="2"/>
      <charset val="177"/>
      <scheme val="minor"/>
    </font>
    <font>
      <vertAlign val="superscript"/>
      <sz val="11"/>
      <color theme="1"/>
      <name val="Calibri"/>
      <family val="2"/>
      <scheme val="minor"/>
    </font>
    <font>
      <i/>
      <sz val="11"/>
      <color theme="1"/>
      <name val="Calibri"/>
      <family val="2"/>
      <scheme val="minor"/>
    </font>
    <font>
      <u/>
      <sz val="11"/>
      <color theme="1"/>
      <name val="Calibri"/>
      <family val="2"/>
      <scheme val="minor"/>
    </font>
    <font>
      <b/>
      <sz val="11"/>
      <name val="Calibri"/>
      <family val="2"/>
      <scheme val="minor"/>
    </font>
    <font>
      <b/>
      <i/>
      <sz val="11"/>
      <name val="Calibri"/>
      <family val="2"/>
      <scheme val="minor"/>
    </font>
    <font>
      <b/>
      <u/>
      <sz val="11"/>
      <name val="Calibri"/>
      <family val="2"/>
      <scheme val="minor"/>
    </font>
    <font>
      <sz val="11"/>
      <color theme="1"/>
      <name val="Calibri"/>
      <family val="2"/>
      <charset val="1"/>
      <scheme val="minor"/>
    </font>
    <font>
      <sz val="11"/>
      <color theme="1"/>
      <name val="Calibri"/>
      <family val="2"/>
      <scheme val="minor"/>
    </font>
    <font>
      <b/>
      <u/>
      <sz val="11"/>
      <color theme="1"/>
      <name val="Calibri"/>
      <family val="2"/>
      <scheme val="minor"/>
    </font>
    <font>
      <i/>
      <sz val="12"/>
      <color theme="1"/>
      <name val="Times New Roman"/>
      <family val="1"/>
    </font>
    <font>
      <sz val="12"/>
      <color theme="1"/>
      <name val="Times New Roman"/>
      <family val="1"/>
    </font>
    <font>
      <b/>
      <sz val="12"/>
      <color theme="1"/>
      <name val="Times New Roman"/>
      <family val="1"/>
    </font>
    <font>
      <i/>
      <sz val="12"/>
      <color theme="1"/>
      <name val="Calibri"/>
      <family val="2"/>
      <scheme val="minor"/>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4"/>
        <bgColor theme="4"/>
      </patternFill>
    </fill>
  </fills>
  <borders count="10">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2" fillId="0" borderId="0"/>
    <xf numFmtId="9" fontId="13" fillId="0" borderId="0" applyFont="0" applyFill="0" applyBorder="0" applyAlignment="0" applyProtection="0"/>
  </cellStyleXfs>
  <cellXfs count="65">
    <xf numFmtId="0" fontId="0" fillId="0" borderId="0" xfId="0"/>
    <xf numFmtId="0" fontId="2" fillId="0" borderId="1" xfId="1" applyBorder="1" applyAlignment="1">
      <alignment horizontal="center" vertical="center"/>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3" borderId="2" xfId="1" applyFont="1" applyFill="1" applyBorder="1" applyAlignment="1">
      <alignment horizontal="center" vertical="center"/>
    </xf>
    <xf numFmtId="0" fontId="1" fillId="3" borderId="3" xfId="1" applyFont="1" applyFill="1" applyBorder="1" applyAlignment="1">
      <alignment horizontal="center" vertical="center"/>
    </xf>
    <xf numFmtId="0" fontId="2" fillId="0" borderId="2" xfId="1" applyBorder="1"/>
    <xf numFmtId="2" fontId="2" fillId="0" borderId="3" xfId="1" applyNumberFormat="1" applyBorder="1"/>
    <xf numFmtId="1" fontId="2" fillId="0" borderId="3" xfId="1" applyNumberFormat="1" applyBorder="1"/>
    <xf numFmtId="164" fontId="2" fillId="0" borderId="2" xfId="1" applyNumberFormat="1" applyBorder="1"/>
    <xf numFmtId="164" fontId="2" fillId="0" borderId="3" xfId="1" applyNumberFormat="1" applyBorder="1"/>
    <xf numFmtId="0" fontId="2" fillId="0" borderId="4" xfId="1" applyBorder="1"/>
    <xf numFmtId="0" fontId="5" fillId="4" borderId="7" xfId="1" applyNumberFormat="1" applyFont="1" applyFill="1" applyBorder="1" applyAlignment="1"/>
    <xf numFmtId="0" fontId="2" fillId="0" borderId="0" xfId="1" applyNumberFormat="1" applyFont="1" applyFill="1" applyBorder="1" applyAlignment="1"/>
    <xf numFmtId="0" fontId="2" fillId="0" borderId="8" xfId="1" applyNumberFormat="1" applyFont="1" applyFill="1" applyBorder="1" applyAlignment="1"/>
    <xf numFmtId="165" fontId="2" fillId="0" borderId="8" xfId="1" applyNumberFormat="1" applyFont="1" applyFill="1" applyBorder="1" applyAlignment="1"/>
    <xf numFmtId="166" fontId="2" fillId="0" borderId="8" xfId="1" applyNumberFormat="1" applyFont="1" applyFill="1" applyBorder="1" applyAlignment="1"/>
    <xf numFmtId="11" fontId="2" fillId="0" borderId="8" xfId="1" applyNumberFormat="1" applyFont="1" applyFill="1" applyBorder="1" applyAlignment="1"/>
    <xf numFmtId="0" fontId="7" fillId="0" borderId="8" xfId="1" applyNumberFormat="1" applyFont="1" applyFill="1" applyBorder="1" applyAlignment="1"/>
    <xf numFmtId="0" fontId="0" fillId="0" borderId="8" xfId="0" applyFont="1" applyFill="1" applyBorder="1"/>
    <xf numFmtId="0" fontId="0" fillId="0" borderId="8" xfId="1" applyNumberFormat="1" applyFont="1" applyFill="1" applyBorder="1" applyAlignment="1"/>
    <xf numFmtId="164" fontId="2" fillId="0" borderId="8" xfId="1" applyNumberFormat="1" applyFont="1" applyFill="1" applyBorder="1" applyAlignment="1"/>
    <xf numFmtId="1" fontId="2" fillId="0" borderId="8" xfId="1" applyNumberFormat="1" applyFont="1" applyFill="1" applyBorder="1" applyAlignment="1"/>
    <xf numFmtId="0" fontId="8" fillId="0" borderId="8" xfId="1" applyNumberFormat="1" applyFont="1" applyFill="1" applyBorder="1" applyAlignment="1"/>
    <xf numFmtId="0" fontId="9" fillId="0" borderId="8" xfId="1" applyNumberFormat="1" applyFont="1" applyFill="1" applyBorder="1" applyAlignment="1">
      <alignment horizontal="center"/>
    </xf>
    <xf numFmtId="0" fontId="9" fillId="0" borderId="9" xfId="1" applyNumberFormat="1" applyFont="1" applyFill="1" applyBorder="1" applyAlignment="1">
      <alignment horizontal="center"/>
    </xf>
    <xf numFmtId="0" fontId="4" fillId="0" borderId="0" xfId="0" applyFont="1" applyFill="1"/>
    <xf numFmtId="0" fontId="2" fillId="0" borderId="0" xfId="1" applyAlignment="1">
      <alignment horizontal="center" vertical="center"/>
    </xf>
    <xf numFmtId="0" fontId="2" fillId="0" borderId="0" xfId="1" applyAlignment="1">
      <alignment horizontal="left" vertical="center"/>
    </xf>
    <xf numFmtId="0" fontId="12" fillId="0" borderId="0" xfId="1" applyFont="1" applyAlignment="1">
      <alignment horizontal="left" vertical="center"/>
    </xf>
    <xf numFmtId="0" fontId="12" fillId="0" borderId="6" xfId="0" applyFont="1" applyBorder="1" applyAlignment="1">
      <alignment horizontal="left" vertical="center"/>
    </xf>
    <xf numFmtId="2" fontId="0" fillId="0" borderId="0" xfId="0" applyNumberFormat="1"/>
    <xf numFmtId="164" fontId="0" fillId="0" borderId="0" xfId="0" applyNumberFormat="1"/>
    <xf numFmtId="0" fontId="14" fillId="0" borderId="0" xfId="0" applyFont="1"/>
    <xf numFmtId="1" fontId="0" fillId="0" borderId="0" xfId="0" applyNumberFormat="1"/>
    <xf numFmtId="11" fontId="0" fillId="0" borderId="0" xfId="0" applyNumberFormat="1"/>
    <xf numFmtId="9" fontId="0" fillId="0" borderId="0" xfId="2" applyFont="1"/>
    <xf numFmtId="165" fontId="0" fillId="0" borderId="0" xfId="0" applyNumberFormat="1"/>
    <xf numFmtId="0" fontId="0" fillId="0" borderId="6" xfId="0" applyFont="1" applyBorder="1"/>
    <xf numFmtId="0" fontId="0" fillId="0" borderId="0" xfId="0" applyNumberFormat="1"/>
    <xf numFmtId="167" fontId="0" fillId="0" borderId="0" xfId="2" applyNumberFormat="1" applyFont="1"/>
    <xf numFmtId="9" fontId="0" fillId="0" borderId="5" xfId="2" applyNumberFormat="1" applyFont="1" applyBorder="1"/>
    <xf numFmtId="1" fontId="0" fillId="0" borderId="0" xfId="2" applyNumberFormat="1" applyFont="1"/>
    <xf numFmtId="0" fontId="0" fillId="0" borderId="0" xfId="0" applyAlignment="1">
      <alignment horizontal="left" vertical="center" wrapText="1"/>
    </xf>
    <xf numFmtId="164" fontId="0" fillId="0" borderId="5" xfId="0" applyNumberFormat="1" applyFont="1" applyBorder="1"/>
    <xf numFmtId="9" fontId="0" fillId="0" borderId="0" xfId="0" applyNumberFormat="1"/>
    <xf numFmtId="0" fontId="0" fillId="0" borderId="0" xfId="0" applyAlignment="1">
      <alignment horizontal="left" vertical="center"/>
    </xf>
    <xf numFmtId="0" fontId="4" fillId="0" borderId="0" xfId="0" applyFont="1"/>
    <xf numFmtId="0" fontId="0" fillId="0" borderId="0" xfId="0" applyFill="1"/>
    <xf numFmtId="9" fontId="0" fillId="0" borderId="0" xfId="2" applyFont="1" applyFill="1"/>
    <xf numFmtId="9" fontId="0" fillId="0" borderId="5" xfId="2" applyFont="1" applyFill="1" applyBorder="1"/>
    <xf numFmtId="0" fontId="0" fillId="0" borderId="0" xfId="1" applyFont="1" applyFill="1" applyAlignment="1">
      <alignment horizontal="center" vertical="center"/>
    </xf>
    <xf numFmtId="0" fontId="2" fillId="0" borderId="0" xfId="1" applyFill="1" applyAlignment="1">
      <alignment horizontal="left" vertical="center"/>
    </xf>
    <xf numFmtId="0" fontId="1" fillId="4" borderId="6" xfId="0" applyFont="1" applyFill="1" applyBorder="1"/>
    <xf numFmtId="0" fontId="0" fillId="0" borderId="0" xfId="0" applyAlignment="1">
      <alignment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alignment vertical="center"/>
    </xf>
    <xf numFmtId="164" fontId="0" fillId="0" borderId="0" xfId="0" applyNumberFormat="1" applyAlignment="1">
      <alignment horizontal="center" vertical="center"/>
    </xf>
    <xf numFmtId="10" fontId="0" fillId="0" borderId="0" xfId="0" applyNumberFormat="1" applyAlignment="1">
      <alignment vertical="center"/>
    </xf>
    <xf numFmtId="164" fontId="0" fillId="0" borderId="0" xfId="0" applyNumberFormat="1" applyAlignment="1">
      <alignment vertical="center"/>
    </xf>
    <xf numFmtId="164" fontId="0" fillId="0" borderId="0" xfId="0" applyNumberFormat="1" applyAlignment="1">
      <alignment horizontal="left" vertical="center"/>
    </xf>
    <xf numFmtId="0" fontId="0" fillId="0" borderId="5" xfId="0" applyFont="1" applyBorder="1" applyAlignment="1">
      <alignment vertical="center"/>
    </xf>
    <xf numFmtId="0" fontId="0" fillId="0" borderId="6" xfId="0" applyFont="1" applyBorder="1" applyAlignment="1">
      <alignment horizontal="left" vertical="center"/>
    </xf>
    <xf numFmtId="1" fontId="0" fillId="0" borderId="0" xfId="0" applyNumberFormat="1" applyAlignment="1">
      <alignment horizontal="center" vertical="center"/>
    </xf>
  </cellXfs>
  <cellStyles count="3">
    <cellStyle name="Normal" xfId="0" builtinId="0"/>
    <cellStyle name="Normal 2" xfId="1" xr:uid="{00000000-0005-0000-0000-000001000000}"/>
    <cellStyle name="Percent" xfId="2" builtinId="5"/>
  </cellStyles>
  <dxfs count="42">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dxf>
    <dxf>
      <numFmt numFmtId="1" formatCode="0"/>
    </dxf>
    <dxf>
      <numFmt numFmtId="1" formatCode="0"/>
    </dxf>
    <dxf>
      <numFmt numFmtId="1" formatCode="0"/>
    </dxf>
    <dxf>
      <numFmt numFmtId="1" formatCode="0"/>
    </dxf>
    <dxf>
      <font>
        <b val="0"/>
        <i val="0"/>
        <strike val="0"/>
        <condense val="0"/>
        <extend val="0"/>
        <outline val="0"/>
        <shadow val="0"/>
        <u val="none"/>
        <vertAlign val="baseline"/>
        <sz val="11"/>
        <color theme="1"/>
        <name val="Calibri"/>
        <scheme val="minor"/>
      </font>
      <numFmt numFmtId="167" formatCode="0.0%"/>
    </dxf>
    <dxf>
      <font>
        <b val="0"/>
        <i val="0"/>
        <strike val="0"/>
        <condense val="0"/>
        <extend val="0"/>
        <outline val="0"/>
        <shadow val="0"/>
        <u val="none"/>
        <vertAlign val="baseline"/>
        <sz val="11"/>
        <color theme="1"/>
        <name val="Calibri"/>
        <scheme val="minor"/>
      </font>
    </dxf>
    <dxf>
      <alignment horizontal="left" vertical="center" textRotation="0" wrapText="1" indent="0" justifyLastLine="0" shrinkToFit="0" readingOrder="0"/>
    </dxf>
    <dxf>
      <numFmt numFmtId="0" formatCode="General"/>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border diagonalUp="0" diagonalDown="0">
        <left style="medium">
          <color indexed="64"/>
        </left>
        <right/>
        <top/>
        <bottom/>
        <vertical/>
        <horizontal/>
      </border>
    </dxf>
    <dxf>
      <numFmt numFmtId="1" formatCode="0"/>
      <border diagonalUp="0" diagonalDown="0">
        <left/>
        <right style="medium">
          <color indexed="64"/>
        </right>
        <top/>
        <bottom/>
        <vertical/>
        <horizontal/>
      </border>
    </dxf>
    <dxf>
      <border diagonalUp="0" diagonalDown="0">
        <left style="medium">
          <color indexed="64"/>
        </left>
        <right/>
        <top/>
        <bottom/>
        <vertical/>
        <horizontal/>
      </border>
    </dxf>
    <dxf>
      <border outline="0">
        <left style="medium">
          <color indexed="64"/>
        </left>
        <right style="medium">
          <color indexed="64"/>
        </right>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7" displayName="טבלה7" ref="A2:E6" totalsRowShown="0" tableBorderDxfId="41">
  <autoFilter ref="A2:E6" xr:uid="{00000000-0009-0000-0100-000001000000}"/>
  <tableColumns count="5">
    <tableColumn id="1" xr3:uid="{00000000-0010-0000-0000-000001000000}" name="level" dataCellStyle="Normal 2"/>
    <tableColumn id="3" xr3:uid="{00000000-0010-0000-0000-000003000000}" name="factor 1975" dataDxfId="40" dataCellStyle="Normal 2"/>
    <tableColumn id="4" xr3:uid="{00000000-0010-0000-0000-000004000000}" name="SA [m^2]" dataDxfId="39" dataCellStyle="Normal 2"/>
    <tableColumn id="5" xr3:uid="{00000000-0010-0000-0000-000005000000}" name="factor 2014" dataDxfId="38" dataCellStyle="Normal 2"/>
    <tableColumn id="6" xr3:uid="{00000000-0010-0000-0000-000006000000}" name="revised SA [m^2] "/>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טבלה3" displayName="טבלה3" ref="A2:F21" totalsRowShown="0" headerRowDxfId="37" dataDxfId="36" tableBorderDxfId="35" headerRowCellStyle="Normal 2" dataCellStyle="Normal 2">
  <autoFilter ref="A2:F21" xr:uid="{00000000-0009-0000-0100-000003000000}"/>
  <tableColumns count="6">
    <tableColumn id="1" xr3:uid="{00000000-0010-0000-0100-000001000000}" name="parameter" dataDxfId="34" dataCellStyle="Normal 2"/>
    <tableColumn id="2" xr3:uid="{00000000-0010-0000-0100-000002000000}" name="rabbit" dataDxfId="33" dataCellStyle="Normal 2"/>
    <tableColumn id="3" xr3:uid="{00000000-0010-0000-0100-000003000000}" name="rat" dataDxfId="32" dataCellStyle="Normal 2"/>
    <tableColumn id="4" xr3:uid="{00000000-0010-0000-0100-000004000000}" name="pigs" dataDxfId="31" dataCellStyle="Normal 2"/>
    <tableColumn id="6" xr3:uid="{00000000-0010-0000-0100-000006000000}" name="dog" dataDxfId="30" dataCellStyle="Normal 2"/>
    <tableColumn id="7" xr3:uid="{00000000-0010-0000-0100-000007000000}" name="human"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GITepithelSources" displayName="GITepithelSources" ref="J1:L18" totalsRowShown="0" headerRowDxfId="28" headerRowCellStyle="Normal 2">
  <autoFilter ref="J1:L18" xr:uid="{00000000-0009-0000-0100-000004000000}"/>
  <tableColumns count="3">
    <tableColumn id="1" xr3:uid="{00000000-0010-0000-0200-000001000000}" name="#" dataDxfId="27" dataCellStyle="Normal 2">
      <calculatedColumnFormula>"[" &amp; ROW()-ROW(GITepithelSources[[#Headers],['#]]) &amp;"]"</calculatedColumnFormula>
    </tableColumn>
    <tableColumn id="2" xr3:uid="{00000000-0010-0000-0200-000002000000}" name="ab." dataDxfId="26" dataCellStyle="Normal 2"/>
    <tableColumn id="3" xr3:uid="{00000000-0010-0000-0200-000003000000}" name="source" dataDxfId="25"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Table10" displayName="Table10" ref="A1:D4" totalsRowShown="0">
  <autoFilter ref="A1:D4" xr:uid="{00000000-0009-0000-0100-00000A000000}"/>
  <tableColumns count="4">
    <tableColumn id="1" xr3:uid="{00000000-0010-0000-0300-000001000000}" name="segment"/>
    <tableColumn id="2" xr3:uid="{00000000-0010-0000-0300-000002000000}" name="total mass [g]"/>
    <tableColumn id="3" xr3:uid="{00000000-0010-0000-0300-000003000000}" name="pottasium [g]"/>
    <tableColumn id="5" xr3:uid="{00000000-0010-0000-0300-000005000000}" name="pottasium SD [g]" dataDxfId="2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Table1112" displayName="Table1112" ref="A1:E3" totalsRowShown="0">
  <autoFilter ref="A1:E3" xr:uid="{00000000-0009-0000-0100-00000B000000}"/>
  <tableColumns count="5">
    <tableColumn id="1" xr3:uid="{00000000-0010-0000-0400-000001000000}" name="parameter"/>
    <tableColumn id="2" xr3:uid="{00000000-0010-0000-0400-000002000000}" name="value"/>
    <tableColumn id="3" xr3:uid="{00000000-0010-0000-0400-000003000000}" name="SD"/>
    <tableColumn id="5" xr3:uid="{00000000-0010-0000-0400-000005000000}" name="units"/>
    <tableColumn id="4" xr3:uid="{00000000-0010-0000-0400-000004000000}" name="sourc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טבלה5" displayName="טבלה5" ref="A1:O17" totalsRowShown="0" dataDxfId="15">
  <autoFilter ref="A1:O17" xr:uid="{00000000-0009-0000-0100-000005000000}"/>
  <tableColumns count="15">
    <tableColumn id="1" xr3:uid="{00000000-0010-0000-0500-000001000000}" name="Segment" dataDxfId="14"/>
    <tableColumn id="8" xr3:uid="{00000000-0010-0000-0500-000008000000}" name="Sub segment" dataDxfId="13"/>
    <tableColumn id="2" xr3:uid="{00000000-0010-0000-0500-000002000000}" name="Darwich turnover (Days)" dataDxfId="12"/>
    <tableColumn id="3" xr3:uid="{00000000-0010-0000-0500-000003000000}" name="SD" dataDxfId="11"/>
    <tableColumn id="4" xr3:uid="{00000000-0010-0000-0500-000004000000}" name="N" dataDxfId="10"/>
    <tableColumn id="5" xr3:uid="{00000000-0010-0000-0500-000005000000}" name="Additional information" dataDxfId="9"/>
    <tableColumn id="6" xr3:uid="{00000000-0010-0000-0500-000006000000}" name="Method" dataDxfId="8"/>
    <tableColumn id="7" xr3:uid="{00000000-0010-0000-0500-000007000000}" name="References" dataDxfId="7"/>
    <tableColumn id="9" xr3:uid="{B409C704-6031-4C98-B818-3DEA281FDED8}" name="review" dataDxfId="6"/>
    <tableColumn id="10" xr3:uid="{25B02565-E775-4299-BDA6-93DDE781C859}" name="True turnover (days)" dataDxfId="5"/>
    <tableColumn id="11" xr3:uid="{BD16EB17-B6AA-4BD5-A842-094B8C7B48D9}" name="SD TO" dataDxfId="4"/>
    <tableColumn id="12" xr3:uid="{BB299D87-6065-46B3-8BFA-8C7337CE9448}" name="True method" dataDxfId="3"/>
    <tableColumn id="13" xr3:uid="{3C30F6E0-F77F-42F4-90A5-2F54C09BC5AE}" name="mitotic rate" dataDxfId="2"/>
    <tableColumn id="14" xr3:uid="{BA139C9B-B103-46F1-B8FF-5CAB2BFC67C2}" name="mitotic rate SD" dataDxfId="1"/>
    <tableColumn id="15" xr3:uid="{FAF8E6F2-5078-4508-8D4A-23104F646CC8}" name="comment"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11" displayName="Table11" ref="A1:F7" totalsRowShown="0">
  <autoFilter ref="A1:F7" xr:uid="{00000000-0009-0000-0100-000006000000}"/>
  <tableColumns count="6">
    <tableColumn id="1" xr3:uid="{00000000-0010-0000-0600-000001000000}" name="parameter"/>
    <tableColumn id="2" xr3:uid="{00000000-0010-0000-0600-000002000000}" name="value"/>
    <tableColumn id="3" xr3:uid="{00000000-0010-0000-0600-000003000000}" name="SD"/>
    <tableColumn id="5" xr3:uid="{00000000-0010-0000-0600-000005000000}" name="units"/>
    <tableColumn id="4" xr3:uid="{00000000-0010-0000-0600-000004000000}" name="sources"/>
    <tableColumn id="6" xr3:uid="{00000000-0010-0000-0600-000006000000}" name="comment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crypt_cells" displayName="crypt_cells" ref="A1:B7" totalsRowShown="0">
  <autoFilter ref="A1:B7" xr:uid="{00000000-0009-0000-0100-000007000000}"/>
  <tableColumns count="2">
    <tableColumn id="1" xr3:uid="{00000000-0010-0000-0700-000001000000}" name="patient"/>
    <tableColumn id="2" xr3:uid="{00000000-0010-0000-0700-000002000000}" name="mean crypt cell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Table2" displayName="Table2" ref="A1:G6" totalsRowShown="0" headerRowDxfId="23">
  <autoFilter ref="A1:G6" xr:uid="{00000000-0009-0000-0100-000002000000}"/>
  <tableColumns count="7">
    <tableColumn id="1" xr3:uid="{00000000-0010-0000-0800-000001000000}" name="location"/>
    <tableColumn id="2" xr3:uid="{00000000-0010-0000-0800-000002000000}" name="mean mucus volume density (%)" dataDxfId="22" dataCellStyle="Percent"/>
    <tableColumn id="3" xr3:uid="{00000000-0010-0000-0800-000003000000}" name="SEM mucus volume density (%) " dataDxfId="21" dataCellStyle="Percent"/>
    <tableColumn id="4" xr3:uid="{00000000-0010-0000-0800-000004000000}" name="mean mucus volume per cell (fl)" dataDxfId="20"/>
    <tableColumn id="5" xr3:uid="{00000000-0010-0000-0800-000005000000}" name="SEM mucus volume per cell (fl)" dataDxfId="19"/>
    <tableColumn id="8" xr3:uid="{00000000-0010-0000-0800-000008000000}" name="mean cell volume (fl)" dataDxfId="18">
      <calculatedColumnFormula>Table2[[#This Row],[mean mucus volume per cell (fl)]]/Table2[[#This Row],[mean mucus volume density (%)]]</calculatedColumnFormula>
    </tableColumn>
    <tableColumn id="9" xr3:uid="{00000000-0010-0000-0800-000009000000}" name="SEM cell volume (fl)" dataDxfId="17">
      <calculatedColumnFormula>SQRT(SUMSQ(Table2[[#This Row],[SEM mucus volume per cell (fl)]]/Table2[[#This Row],[mean mucus volume density (%)]],Table2[[#This Row],[mean mucus volume per cell (fl)]]*Table2[[#This Row],[SEM mucus volume density (%) ]]/(Table2[[#This Row],[mean mucus volume density (%)]]^2)))</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9000000}" name="Table119" displayName="Table119" ref="A1:F9" totalsRowShown="0">
  <autoFilter ref="A1:F9" xr:uid="{00000000-0009-0000-0100-000008000000}"/>
  <tableColumns count="6">
    <tableColumn id="1" xr3:uid="{00000000-0010-0000-0900-000001000000}" name="parameter"/>
    <tableColumn id="2" xr3:uid="{00000000-0010-0000-0900-000002000000}" name="value"/>
    <tableColumn id="3" xr3:uid="{00000000-0010-0000-0900-000003000000}" name="SD" dataDxfId="16"/>
    <tableColumn id="5" xr3:uid="{00000000-0010-0000-0900-000005000000}" name="units"/>
    <tableColumn id="4" xr3:uid="{00000000-0010-0000-0900-000004000000}" name="sources"/>
    <tableColumn id="6" xr3:uid="{00000000-0010-0000-0900-000006000000}"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zoomScaleNormal="100" workbookViewId="0">
      <selection activeCell="E5" sqref="E5"/>
    </sheetView>
  </sheetViews>
  <sheetFormatPr defaultRowHeight="14.5" x14ac:dyDescent="0.35"/>
  <cols>
    <col min="1" max="1" width="11.453125" customWidth="1"/>
    <col min="5" max="5" width="10.54296875" customWidth="1"/>
  </cols>
  <sheetData>
    <row r="1" spans="1:5" ht="15" thickBot="1" x14ac:dyDescent="0.4">
      <c r="A1" t="s">
        <v>1</v>
      </c>
      <c r="B1" t="s">
        <v>2</v>
      </c>
      <c r="D1" t="s">
        <v>3</v>
      </c>
    </row>
    <row r="2" spans="1:5" ht="16.5" x14ac:dyDescent="0.35">
      <c r="A2" s="1" t="s">
        <v>8</v>
      </c>
      <c r="B2" s="2" t="s">
        <v>7</v>
      </c>
      <c r="C2" s="3" t="s">
        <v>4</v>
      </c>
      <c r="D2" s="4" t="s">
        <v>6</v>
      </c>
      <c r="E2" s="5" t="s">
        <v>5</v>
      </c>
    </row>
    <row r="3" spans="1:5" x14ac:dyDescent="0.35">
      <c r="A3" s="6" t="s">
        <v>11</v>
      </c>
      <c r="B3" s="6">
        <v>1</v>
      </c>
      <c r="C3" s="7">
        <f>1/3</f>
        <v>0.33333333333333331</v>
      </c>
      <c r="D3" s="6">
        <v>1</v>
      </c>
      <c r="E3" s="7">
        <f>2.91*0.025*PI()</f>
        <v>0.22855086554865747</v>
      </c>
    </row>
    <row r="4" spans="1:5" x14ac:dyDescent="0.35">
      <c r="A4" s="6" t="s">
        <v>0</v>
      </c>
      <c r="B4" s="6">
        <v>3</v>
      </c>
      <c r="C4" s="8">
        <f>C3*טבלה7[[#This Row],[factor 1975]]</f>
        <v>1</v>
      </c>
      <c r="D4" s="9">
        <v>1.57</v>
      </c>
      <c r="E4" s="10">
        <f>E3*טבלה7[[#This Row],[factor 2014]]</f>
        <v>0.35882485891139226</v>
      </c>
    </row>
    <row r="5" spans="1:5" x14ac:dyDescent="0.35">
      <c r="A5" s="6" t="s">
        <v>9</v>
      </c>
      <c r="B5" s="6">
        <v>10</v>
      </c>
      <c r="C5" s="8">
        <f>C4*טבלה7[[#This Row],[factor 1975]]</f>
        <v>10</v>
      </c>
      <c r="D5" s="6">
        <v>6.5</v>
      </c>
      <c r="E5" s="10">
        <f>E4*טבלה7[[#This Row],[factor 2014]]</f>
        <v>2.3323615829240496</v>
      </c>
    </row>
    <row r="6" spans="1:5" ht="15" thickBot="1" x14ac:dyDescent="0.4">
      <c r="A6" s="11" t="s">
        <v>10</v>
      </c>
      <c r="B6" s="11">
        <v>20</v>
      </c>
      <c r="C6" s="8">
        <f>C5*טבלה7[[#This Row],[factor 1975]]</f>
        <v>200</v>
      </c>
      <c r="D6" s="11">
        <v>13</v>
      </c>
      <c r="E6" s="10">
        <f>E5*טבלה7[[#This Row],[factor 2014]]</f>
        <v>30.320700578012644</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zoomScaleNormal="100" workbookViewId="0">
      <selection activeCell="F12" sqref="F12"/>
    </sheetView>
  </sheetViews>
  <sheetFormatPr defaultRowHeight="14.5" x14ac:dyDescent="0.35"/>
  <cols>
    <col min="1" max="1" width="35.26953125" customWidth="1"/>
    <col min="6" max="6" width="13.81640625" bestFit="1" customWidth="1"/>
    <col min="11" max="11" width="16.26953125" customWidth="1"/>
    <col min="12" max="12" width="10.54296875" customWidth="1"/>
  </cols>
  <sheetData>
    <row r="1" spans="1:12" x14ac:dyDescent="0.35">
      <c r="A1" s="26" t="s">
        <v>30</v>
      </c>
      <c r="B1" s="24" t="s">
        <v>13</v>
      </c>
      <c r="C1" s="24" t="s">
        <v>28</v>
      </c>
      <c r="D1" s="24" t="s">
        <v>29</v>
      </c>
      <c r="E1" s="25" t="s">
        <v>14</v>
      </c>
      <c r="F1" s="24" t="s">
        <v>167</v>
      </c>
      <c r="J1" s="27" t="s">
        <v>31</v>
      </c>
      <c r="K1" s="27" t="s">
        <v>32</v>
      </c>
      <c r="L1" s="27" t="s">
        <v>33</v>
      </c>
    </row>
    <row r="2" spans="1:12" x14ac:dyDescent="0.35">
      <c r="A2" s="12" t="s">
        <v>12</v>
      </c>
      <c r="B2" s="13" t="s">
        <v>15</v>
      </c>
      <c r="C2" s="13" t="s">
        <v>16</v>
      </c>
      <c r="D2" s="13" t="s">
        <v>17</v>
      </c>
      <c r="E2" s="13" t="s">
        <v>19</v>
      </c>
      <c r="F2" s="13" t="s">
        <v>18</v>
      </c>
      <c r="J2" s="27" t="str">
        <f>"[" &amp; ROW()-ROW(GITepithelSources[[#Headers],['#]]) &amp;"]"</f>
        <v>[1]</v>
      </c>
      <c r="K2" s="28" t="s">
        <v>34</v>
      </c>
      <c r="L2" s="29" t="s">
        <v>35</v>
      </c>
    </row>
    <row r="3" spans="1:12" x14ac:dyDescent="0.35">
      <c r="A3" s="14" t="s">
        <v>90</v>
      </c>
      <c r="B3" s="14">
        <v>630</v>
      </c>
      <c r="C3" s="14">
        <f>AVERAGE(300,650)</f>
        <v>475</v>
      </c>
      <c r="D3" s="14">
        <f>AVERAGE(450,250)</f>
        <v>350</v>
      </c>
      <c r="E3" s="14">
        <f>AVERAGE(500,600)</f>
        <v>550</v>
      </c>
      <c r="F3" s="14"/>
      <c r="J3" s="27" t="str">
        <f>"[" &amp; ROW()-ROW(GITepithelSources[[#Headers],['#]]) &amp;"]"</f>
        <v>[2]</v>
      </c>
      <c r="K3" s="28" t="s">
        <v>36</v>
      </c>
      <c r="L3" s="29" t="s">
        <v>37</v>
      </c>
    </row>
    <row r="4" spans="1:12" x14ac:dyDescent="0.35">
      <c r="A4" s="14" t="s">
        <v>91</v>
      </c>
      <c r="B4" s="14">
        <v>90</v>
      </c>
      <c r="C4" s="14">
        <v>120</v>
      </c>
      <c r="D4" s="14">
        <v>110</v>
      </c>
      <c r="E4" s="14">
        <f>AVERAGE(200,250)</f>
        <v>225</v>
      </c>
      <c r="F4" s="14"/>
      <c r="J4" s="27" t="str">
        <f>"[" &amp; ROW()-ROW(GITepithelSources[[#Headers],['#]]) &amp;"]"</f>
        <v>[3]</v>
      </c>
      <c r="K4" s="28" t="s">
        <v>3</v>
      </c>
      <c r="L4" s="29" t="s">
        <v>38</v>
      </c>
    </row>
    <row r="5" spans="1:12" ht="16.5" x14ac:dyDescent="0.35">
      <c r="A5" s="14" t="s">
        <v>89</v>
      </c>
      <c r="B5" s="14"/>
      <c r="C5" s="14"/>
      <c r="D5" s="15">
        <f>0.05*10^-6</f>
        <v>4.9999999999999998E-8</v>
      </c>
      <c r="E5" s="15">
        <f>0.43*10^6</f>
        <v>430000</v>
      </c>
      <c r="F5" s="14"/>
      <c r="J5" s="27" t="str">
        <f>"[" &amp; ROW()-ROW(GITepithelSources[[#Headers],['#]]) &amp;"]"</f>
        <v>[4]</v>
      </c>
      <c r="K5" s="28" t="s">
        <v>39</v>
      </c>
      <c r="L5" s="29" t="s">
        <v>40</v>
      </c>
    </row>
    <row r="6" spans="1:12" x14ac:dyDescent="0.35">
      <c r="A6" s="14" t="s">
        <v>20</v>
      </c>
      <c r="B6" s="14">
        <v>194</v>
      </c>
      <c r="C6" s="14"/>
      <c r="D6" s="14"/>
      <c r="E6" s="14"/>
      <c r="F6" s="14"/>
      <c r="J6" s="27" t="str">
        <f>"[" &amp; ROW()-ROW(GITepithelSources[[#Headers],['#]]) &amp;"]"</f>
        <v>[5]</v>
      </c>
      <c r="K6" s="28" t="s">
        <v>41</v>
      </c>
      <c r="L6" s="29" t="s">
        <v>42</v>
      </c>
    </row>
    <row r="7" spans="1:12" x14ac:dyDescent="0.35">
      <c r="A7" s="14" t="s">
        <v>21</v>
      </c>
      <c r="B7" s="14"/>
      <c r="C7" s="14"/>
      <c r="D7" s="14">
        <f>15/2.5</f>
        <v>6</v>
      </c>
      <c r="E7" s="14"/>
      <c r="F7" s="14"/>
      <c r="J7" s="27" t="str">
        <f>"[" &amp; ROW()-ROW(GITepithelSources[[#Headers],['#]]) &amp;"]"</f>
        <v>[6]</v>
      </c>
      <c r="K7" s="28" t="s">
        <v>43</v>
      </c>
      <c r="L7" s="29" t="s">
        <v>44</v>
      </c>
    </row>
    <row r="8" spans="1:12" ht="16.5" x14ac:dyDescent="0.35">
      <c r="A8" s="14" t="s">
        <v>22</v>
      </c>
      <c r="B8" s="16">
        <v>74000000</v>
      </c>
      <c r="C8" s="16">
        <v>30000000</v>
      </c>
      <c r="D8" s="16">
        <f>D7^2*10^6</f>
        <v>36000000</v>
      </c>
      <c r="E8" s="16">
        <v>16000000</v>
      </c>
      <c r="F8" s="14"/>
      <c r="J8" s="27" t="str">
        <f>"[" &amp; ROW()-ROW(GITepithelSources[[#Headers],['#]]) &amp;"]"</f>
        <v>[7]</v>
      </c>
      <c r="K8" s="28" t="s">
        <v>45</v>
      </c>
      <c r="L8" s="29" t="s">
        <v>46</v>
      </c>
    </row>
    <row r="9" spans="1:12" ht="16.5" x14ac:dyDescent="0.35">
      <c r="A9" s="14" t="s">
        <v>23</v>
      </c>
      <c r="B9" s="17"/>
      <c r="C9" s="16">
        <f>AVERAGE(3,4.5) *POWER(10,7)</f>
        <v>37500000</v>
      </c>
      <c r="D9" s="14"/>
      <c r="E9" s="14"/>
      <c r="F9" s="14"/>
      <c r="G9" s="14"/>
      <c r="J9" s="27" t="str">
        <f>"[" &amp; ROW()-ROW(GITepithelSources[[#Headers],['#]]) &amp;"]"</f>
        <v>[8]</v>
      </c>
      <c r="K9" s="28" t="s">
        <v>47</v>
      </c>
      <c r="L9" s="29" t="s">
        <v>48</v>
      </c>
    </row>
    <row r="10" spans="1:12" ht="16.5" x14ac:dyDescent="0.35">
      <c r="A10" s="14" t="s">
        <v>24</v>
      </c>
      <c r="B10" s="17"/>
      <c r="C10" s="16">
        <f>AVERAGE(1.5,2.5) *POWER(10,7)</f>
        <v>20000000</v>
      </c>
      <c r="D10" s="14"/>
      <c r="E10" s="14"/>
      <c r="F10" s="14"/>
      <c r="G10" s="14"/>
      <c r="J10" s="27" t="str">
        <f>"[" &amp; ROW()-ROW(GITepithelSources[[#Headers],['#]]) &amp;"]"</f>
        <v>[9]</v>
      </c>
      <c r="K10" s="28" t="s">
        <v>49</v>
      </c>
      <c r="L10" s="29" t="s">
        <v>50</v>
      </c>
    </row>
    <row r="11" spans="1:12" x14ac:dyDescent="0.35">
      <c r="A11" s="14" t="s">
        <v>92</v>
      </c>
      <c r="B11" s="14">
        <v>145</v>
      </c>
      <c r="C11" s="14"/>
      <c r="D11" s="14">
        <v>350</v>
      </c>
      <c r="E11" s="14">
        <v>200</v>
      </c>
      <c r="F11" s="18">
        <f>AVERAGE(320,450)</f>
        <v>385</v>
      </c>
      <c r="G11" s="14"/>
      <c r="J11" s="27" t="str">
        <f>"[" &amp; ROW()-ROW(GITepithelSources[[#Headers],['#]]) &amp;"]"</f>
        <v>[10]</v>
      </c>
      <c r="K11" s="28" t="s">
        <v>51</v>
      </c>
      <c r="L11" s="29" t="s">
        <v>52</v>
      </c>
    </row>
    <row r="12" spans="1:12" x14ac:dyDescent="0.35">
      <c r="A12" s="14" t="s">
        <v>93</v>
      </c>
      <c r="B12" s="14"/>
      <c r="C12" s="14"/>
      <c r="D12" s="14"/>
      <c r="E12" s="14"/>
      <c r="F12" s="14">
        <v>100</v>
      </c>
      <c r="G12" s="14"/>
      <c r="J12" s="27" t="str">
        <f>"[" &amp; ROW()-ROW(GITepithelSources[[#Headers],['#]]) &amp;"]"</f>
        <v>[11]</v>
      </c>
      <c r="K12" s="28" t="s">
        <v>53</v>
      </c>
      <c r="L12" s="29" t="s">
        <v>54</v>
      </c>
    </row>
    <row r="13" spans="1:12" x14ac:dyDescent="0.35">
      <c r="A13" s="14" t="s">
        <v>25</v>
      </c>
      <c r="B13" s="14"/>
      <c r="C13" s="14"/>
      <c r="D13" s="14">
        <v>13</v>
      </c>
      <c r="E13" s="14"/>
      <c r="F13" s="14"/>
      <c r="G13" s="14"/>
      <c r="J13" s="27" t="str">
        <f>"[" &amp; ROW()-ROW(GITepithelSources[[#Headers],['#]]) &amp;"]"</f>
        <v>[12]</v>
      </c>
      <c r="K13" s="28" t="s">
        <v>55</v>
      </c>
      <c r="L13" s="29" t="s">
        <v>56</v>
      </c>
    </row>
    <row r="14" spans="1:12" ht="16.5" x14ac:dyDescent="0.35">
      <c r="A14" s="14" t="s">
        <v>26</v>
      </c>
      <c r="B14" s="16"/>
      <c r="C14" s="16"/>
      <c r="D14" s="16">
        <f>D13^2*10^6</f>
        <v>169000000</v>
      </c>
      <c r="E14" s="14"/>
      <c r="F14" s="14"/>
      <c r="G14" s="19"/>
      <c r="J14" s="27" t="str">
        <f>"[" &amp; ROW()-ROW(GITepithelSources[[#Headers],['#]]) &amp;"]"</f>
        <v>[13]</v>
      </c>
      <c r="K14" s="28" t="s">
        <v>57</v>
      </c>
      <c r="L14" s="29" t="s">
        <v>58</v>
      </c>
    </row>
    <row r="15" spans="1:12" x14ac:dyDescent="0.35">
      <c r="A15" s="14" t="s">
        <v>84</v>
      </c>
      <c r="B15" s="14"/>
      <c r="C15" s="14"/>
      <c r="D15" s="14">
        <f>25/125</f>
        <v>0.2</v>
      </c>
      <c r="E15" s="14"/>
      <c r="F15" s="14"/>
      <c r="G15" s="19"/>
      <c r="J15" s="27" t="str">
        <f>"[" &amp; ROW()-ROW(GITepithelSources[[#Headers],['#]]) &amp;"]"</f>
        <v>[14]</v>
      </c>
      <c r="K15" s="28" t="s">
        <v>59</v>
      </c>
      <c r="L15" s="29" t="s">
        <v>60</v>
      </c>
    </row>
    <row r="16" spans="1:12" x14ac:dyDescent="0.35">
      <c r="A16" s="20" t="s">
        <v>85</v>
      </c>
      <c r="B16" s="14"/>
      <c r="C16" s="14"/>
      <c r="D16" s="21">
        <f>62/125</f>
        <v>0.496</v>
      </c>
      <c r="E16" s="14"/>
      <c r="F16" s="14"/>
      <c r="G16" s="19"/>
      <c r="J16" s="27" t="str">
        <f>"[" &amp; ROW()-ROW(GITepithelSources[[#Headers],['#]]) &amp;"]"</f>
        <v>[15]</v>
      </c>
      <c r="K16" s="28" t="s">
        <v>61</v>
      </c>
      <c r="L16" s="29" t="s">
        <v>62</v>
      </c>
    </row>
    <row r="17" spans="1:12" x14ac:dyDescent="0.35">
      <c r="A17" s="14" t="s">
        <v>86</v>
      </c>
      <c r="B17" s="14"/>
      <c r="C17" s="14"/>
      <c r="D17" s="14"/>
      <c r="E17" s="14"/>
      <c r="F17" s="14">
        <v>7.5</v>
      </c>
      <c r="G17" s="19"/>
      <c r="J17" s="27" t="str">
        <f>"[" &amp; ROW()-ROW(GITepithelSources[[#Headers],['#]]) &amp;"]"</f>
        <v>[16]</v>
      </c>
      <c r="K17" s="28" t="s">
        <v>63</v>
      </c>
      <c r="L17" s="29" t="s">
        <v>64</v>
      </c>
    </row>
    <row r="18" spans="1:12" ht="16.5" x14ac:dyDescent="0.35">
      <c r="A18" s="14" t="s">
        <v>87</v>
      </c>
      <c r="B18" s="14"/>
      <c r="C18" s="14"/>
      <c r="D18" s="14"/>
      <c r="E18" s="14"/>
      <c r="F18" s="22">
        <f>PI()*(F17/2)^2</f>
        <v>44.178646691106465</v>
      </c>
      <c r="G18" s="19"/>
      <c r="J18" s="51" t="str">
        <f>"[" &amp; ROW()-ROW(GITepithelSources[[#Headers],['#]]) &amp;"]"</f>
        <v>[17]</v>
      </c>
      <c r="K18" s="52" t="s">
        <v>169</v>
      </c>
      <c r="L18" t="s">
        <v>168</v>
      </c>
    </row>
    <row r="19" spans="1:12" ht="16.5" x14ac:dyDescent="0.35">
      <c r="A19" s="14" t="s">
        <v>88</v>
      </c>
      <c r="B19" s="14"/>
      <c r="C19" s="14"/>
      <c r="D19" s="14"/>
      <c r="E19" s="14"/>
      <c r="F19" s="22">
        <v>800</v>
      </c>
      <c r="G19" s="19"/>
    </row>
    <row r="20" spans="1:12" ht="16.5" x14ac:dyDescent="0.35">
      <c r="A20" s="14" t="s">
        <v>166</v>
      </c>
      <c r="B20" s="20"/>
      <c r="C20" s="20"/>
      <c r="D20" s="20"/>
      <c r="E20" s="20"/>
      <c r="F20" s="48">
        <v>150</v>
      </c>
      <c r="G20" s="19"/>
    </row>
    <row r="21" spans="1:12" x14ac:dyDescent="0.35">
      <c r="A21" s="14" t="s">
        <v>27</v>
      </c>
      <c r="B21" s="14"/>
      <c r="C21" s="14"/>
      <c r="D21" s="14"/>
      <c r="E21" s="14"/>
      <c r="F21" s="23">
        <v>3</v>
      </c>
    </row>
  </sheetData>
  <pageMargins left="0.7" right="0.7" top="0.75" bottom="0.75" header="0.3" footer="0.3"/>
  <pageSetup orientation="portrait" horizontalDpi="0" verticalDpi="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workbookViewId="0">
      <selection activeCell="I6" sqref="I6"/>
    </sheetView>
  </sheetViews>
  <sheetFormatPr defaultRowHeight="14.5" x14ac:dyDescent="0.35"/>
  <cols>
    <col min="1" max="1" width="24.453125" bestFit="1" customWidth="1"/>
    <col min="2" max="2" width="12.1796875" customWidth="1"/>
    <col min="3" max="3" width="11" customWidth="1"/>
  </cols>
  <sheetData>
    <row r="1" spans="1:10" x14ac:dyDescent="0.35">
      <c r="A1" t="s">
        <v>170</v>
      </c>
      <c r="B1" t="s">
        <v>173</v>
      </c>
      <c r="C1" t="s">
        <v>171</v>
      </c>
      <c r="D1" t="s">
        <v>172</v>
      </c>
    </row>
    <row r="2" spans="1:10" x14ac:dyDescent="0.35">
      <c r="A2" t="s">
        <v>119</v>
      </c>
      <c r="B2">
        <v>150</v>
      </c>
      <c r="C2">
        <v>0.21</v>
      </c>
      <c r="D2" s="31">
        <f>(0.3-0.12)/(2*_xlfn.NORM.INV(0.9,0,1))</f>
        <v>7.0227373146514102E-2</v>
      </c>
      <c r="I2" s="47" t="s">
        <v>179</v>
      </c>
      <c r="J2" s="38" t="s">
        <v>36</v>
      </c>
    </row>
    <row r="3" spans="1:10" x14ac:dyDescent="0.35">
      <c r="A3" t="s">
        <v>130</v>
      </c>
      <c r="B3">
        <v>640</v>
      </c>
      <c r="C3">
        <v>0.87</v>
      </c>
      <c r="D3" s="32">
        <f>(1.4-0.4)/(2*_xlfn.NORM.INV(0.9,0,1))</f>
        <v>0.39015207303618943</v>
      </c>
    </row>
    <row r="4" spans="1:10" x14ac:dyDescent="0.35">
      <c r="A4" t="s">
        <v>125</v>
      </c>
      <c r="B4">
        <v>370</v>
      </c>
      <c r="C4">
        <v>0.41</v>
      </c>
      <c r="D4" s="31">
        <f>(0.19-0.07)/(2*_xlfn.NORM.INV(0.9,0,1))</f>
        <v>4.6818248764342735E-2</v>
      </c>
    </row>
    <row r="5" spans="1:10" x14ac:dyDescent="0.35">
      <c r="H5" s="4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selection activeCell="G14" sqref="G14"/>
    </sheetView>
  </sheetViews>
  <sheetFormatPr defaultRowHeight="14.5" x14ac:dyDescent="0.35"/>
  <cols>
    <col min="1" max="1" width="24.453125" bestFit="1" customWidth="1"/>
  </cols>
  <sheetData>
    <row r="1" spans="1:5" x14ac:dyDescent="0.35">
      <c r="A1" t="s">
        <v>12</v>
      </c>
      <c r="B1" t="s">
        <v>94</v>
      </c>
      <c r="C1" t="s">
        <v>66</v>
      </c>
      <c r="D1" t="s">
        <v>95</v>
      </c>
      <c r="E1" t="s">
        <v>30</v>
      </c>
    </row>
    <row r="2" spans="1:5" x14ac:dyDescent="0.35">
      <c r="A2" t="s">
        <v>174</v>
      </c>
      <c r="B2">
        <v>39.1</v>
      </c>
      <c r="C2">
        <v>0</v>
      </c>
      <c r="D2" t="s">
        <v>175</v>
      </c>
    </row>
    <row r="3" spans="1:5" x14ac:dyDescent="0.35">
      <c r="A3" t="s">
        <v>176</v>
      </c>
      <c r="B3">
        <v>9.1999999999999998E-3</v>
      </c>
      <c r="C3">
        <v>1E-3</v>
      </c>
      <c r="D3" t="s">
        <v>177</v>
      </c>
      <c r="E3" t="s">
        <v>178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9"/>
  <sheetViews>
    <sheetView tabSelected="1" topLeftCell="H1" zoomScaleNormal="100" workbookViewId="0">
      <selection activeCell="O6" sqref="O6"/>
    </sheetView>
  </sheetViews>
  <sheetFormatPr defaultRowHeight="14.5" x14ac:dyDescent="0.35"/>
  <cols>
    <col min="1" max="2" width="10.1796875" customWidth="1"/>
    <col min="3" max="3" width="16.1796875" customWidth="1"/>
    <col min="6" max="6" width="9.7265625" customWidth="1"/>
    <col min="7" max="7" width="19.54296875" bestFit="1" customWidth="1"/>
    <col min="8" max="8" width="12" customWidth="1"/>
    <col min="9" max="9" width="60.54296875" customWidth="1"/>
    <col min="12" max="12" width="18.6328125" bestFit="1" customWidth="1"/>
    <col min="15" max="15" width="76.54296875" bestFit="1" customWidth="1"/>
    <col min="16" max="16" width="25.54296875" customWidth="1"/>
    <col min="17" max="17" width="16.26953125" bestFit="1" customWidth="1"/>
    <col min="18" max="18" width="16.7265625" bestFit="1" customWidth="1"/>
    <col min="19" max="19" width="19.54296875" customWidth="1"/>
    <col min="20" max="20" width="12.26953125" bestFit="1" customWidth="1"/>
    <col min="22" max="22" width="15.453125" bestFit="1" customWidth="1"/>
    <col min="23" max="23" width="16.26953125" bestFit="1" customWidth="1"/>
    <col min="24" max="24" width="16.7265625" bestFit="1" customWidth="1"/>
    <col min="25" max="25" width="19.54296875" bestFit="1" customWidth="1"/>
    <col min="26" max="26" width="11.26953125" bestFit="1" customWidth="1"/>
  </cols>
  <sheetData>
    <row r="1" spans="1:20" x14ac:dyDescent="0.35">
      <c r="A1" t="s">
        <v>65</v>
      </c>
      <c r="B1" t="s">
        <v>117</v>
      </c>
      <c r="C1" t="s">
        <v>212</v>
      </c>
      <c r="D1" t="s">
        <v>66</v>
      </c>
      <c r="E1" t="s">
        <v>67</v>
      </c>
      <c r="F1" t="s">
        <v>68</v>
      </c>
      <c r="G1" t="s">
        <v>69</v>
      </c>
      <c r="H1" t="s">
        <v>70</v>
      </c>
      <c r="I1" t="s">
        <v>195</v>
      </c>
      <c r="J1" t="s">
        <v>181</v>
      </c>
      <c r="K1" t="s">
        <v>182</v>
      </c>
      <c r="L1" t="s">
        <v>183</v>
      </c>
      <c r="M1" t="s">
        <v>184</v>
      </c>
      <c r="N1" s="53" t="s">
        <v>185</v>
      </c>
      <c r="O1" t="s">
        <v>180</v>
      </c>
      <c r="R1" s="47" t="s">
        <v>30</v>
      </c>
    </row>
    <row r="2" spans="1:20" s="57" customFormat="1" x14ac:dyDescent="0.35">
      <c r="A2" s="57" t="s">
        <v>119</v>
      </c>
      <c r="B2" s="57" t="s">
        <v>119</v>
      </c>
      <c r="C2" s="57">
        <v>5</v>
      </c>
      <c r="D2" s="57">
        <v>1</v>
      </c>
      <c r="E2" s="57">
        <v>2</v>
      </c>
      <c r="G2" s="57" t="s">
        <v>118</v>
      </c>
      <c r="H2" s="57" t="s">
        <v>74</v>
      </c>
      <c r="I2" s="54" t="s">
        <v>186</v>
      </c>
      <c r="J2" s="64">
        <v>5</v>
      </c>
      <c r="K2" s="56">
        <v>1</v>
      </c>
      <c r="L2" s="57" t="s">
        <v>118</v>
      </c>
      <c r="R2" s="30" t="s">
        <v>64</v>
      </c>
      <c r="S2" s="30"/>
    </row>
    <row r="3" spans="1:20" s="57" customFormat="1" ht="15.5" x14ac:dyDescent="0.35">
      <c r="A3" s="57" t="s">
        <v>119</v>
      </c>
      <c r="B3" s="57" t="s">
        <v>119</v>
      </c>
      <c r="C3" s="57">
        <v>3.5</v>
      </c>
      <c r="D3" s="57">
        <v>0.5</v>
      </c>
      <c r="E3" s="57">
        <v>3</v>
      </c>
      <c r="G3" s="57" t="s">
        <v>118</v>
      </c>
      <c r="H3" s="57" t="s">
        <v>83</v>
      </c>
      <c r="I3" s="57" t="s">
        <v>187</v>
      </c>
      <c r="J3" s="55" t="s">
        <v>190</v>
      </c>
      <c r="K3" s="55"/>
      <c r="L3" s="57" t="s">
        <v>118</v>
      </c>
      <c r="R3" s="30" t="s">
        <v>203</v>
      </c>
      <c r="S3" s="30"/>
    </row>
    <row r="4" spans="1:20" s="57" customFormat="1" ht="29" x14ac:dyDescent="0.35">
      <c r="A4" s="57" t="s">
        <v>119</v>
      </c>
      <c r="B4" s="57" t="s">
        <v>119</v>
      </c>
      <c r="C4" s="57">
        <v>3.46</v>
      </c>
      <c r="D4" s="57">
        <v>1.21</v>
      </c>
      <c r="E4" s="57">
        <v>16</v>
      </c>
      <c r="F4" s="57" t="s">
        <v>121</v>
      </c>
      <c r="G4" s="57" t="s">
        <v>120</v>
      </c>
      <c r="H4" s="57" t="s">
        <v>123</v>
      </c>
      <c r="I4" s="54" t="s">
        <v>188</v>
      </c>
      <c r="J4" s="64">
        <v>28.1</v>
      </c>
      <c r="K4" s="58">
        <f>SQRT(SUMSQ(4.1/2.8%, 10.8*2.4%/(2.8%)^2))/24</f>
        <v>15.06616097781763</v>
      </c>
      <c r="L4" s="57" t="s">
        <v>120</v>
      </c>
      <c r="R4" s="30" t="s">
        <v>204</v>
      </c>
      <c r="S4" s="30"/>
    </row>
    <row r="5" spans="1:20" s="57" customFormat="1" ht="29" x14ac:dyDescent="0.35">
      <c r="A5" s="57" t="s">
        <v>119</v>
      </c>
      <c r="B5" s="57" t="s">
        <v>119</v>
      </c>
      <c r="C5" s="57">
        <v>2.58</v>
      </c>
      <c r="D5" s="57">
        <v>1.17</v>
      </c>
      <c r="E5" s="57">
        <v>10</v>
      </c>
      <c r="F5" s="57" t="s">
        <v>122</v>
      </c>
      <c r="G5" s="57" t="s">
        <v>120</v>
      </c>
      <c r="H5" s="57" t="s">
        <v>123</v>
      </c>
      <c r="I5" s="54" t="s">
        <v>188</v>
      </c>
      <c r="J5" s="64">
        <v>11.5</v>
      </c>
      <c r="K5" s="58">
        <f>SQRT(SUMSQ(3.1/4.8%, 7.7*3.1%/(4.8%)^2))/24</f>
        <v>5.0868277882177848</v>
      </c>
      <c r="L5" s="57" t="s">
        <v>120</v>
      </c>
      <c r="R5" s="30" t="s">
        <v>205</v>
      </c>
      <c r="S5" s="30"/>
    </row>
    <row r="6" spans="1:20" s="57" customFormat="1" ht="43.5" x14ac:dyDescent="0.35">
      <c r="A6" s="57" t="s">
        <v>119</v>
      </c>
      <c r="B6" s="57" t="s">
        <v>119</v>
      </c>
      <c r="C6" s="57">
        <v>3.43</v>
      </c>
      <c r="D6" s="57">
        <v>1.1399999999999999</v>
      </c>
      <c r="E6" s="57">
        <v>4</v>
      </c>
      <c r="G6" s="57" t="s">
        <v>118</v>
      </c>
      <c r="H6" s="57" t="s">
        <v>124</v>
      </c>
      <c r="I6" s="54" t="s">
        <v>189</v>
      </c>
      <c r="J6" s="55" t="s">
        <v>190</v>
      </c>
      <c r="K6" s="55"/>
      <c r="L6" s="57" t="s">
        <v>191</v>
      </c>
      <c r="M6" s="59">
        <v>1.2999999999999999E-2</v>
      </c>
      <c r="N6" s="59">
        <v>3.5000000000000001E-3</v>
      </c>
      <c r="R6" s="63" t="s">
        <v>211</v>
      </c>
      <c r="S6" s="30"/>
    </row>
    <row r="7" spans="1:20" s="57" customFormat="1" ht="15.5" x14ac:dyDescent="0.35">
      <c r="A7" s="57" t="s">
        <v>130</v>
      </c>
      <c r="B7" s="57" t="s">
        <v>71</v>
      </c>
      <c r="C7" s="57">
        <v>5.5</v>
      </c>
      <c r="D7" s="57">
        <v>0.5</v>
      </c>
      <c r="E7" s="57">
        <v>2</v>
      </c>
      <c r="F7" s="57" t="s">
        <v>72</v>
      </c>
      <c r="G7" s="57" t="s">
        <v>73</v>
      </c>
      <c r="H7" s="57" t="s">
        <v>74</v>
      </c>
      <c r="I7" s="54" t="s">
        <v>192</v>
      </c>
      <c r="J7" s="64">
        <v>6</v>
      </c>
      <c r="K7" s="55">
        <v>2</v>
      </c>
      <c r="L7" s="57" t="s">
        <v>118</v>
      </c>
      <c r="O7" s="57" t="s">
        <v>214</v>
      </c>
      <c r="R7" s="30" t="s">
        <v>206</v>
      </c>
      <c r="S7" s="30"/>
    </row>
    <row r="8" spans="1:20" s="57" customFormat="1" ht="15.5" x14ac:dyDescent="0.35">
      <c r="A8" s="57" t="s">
        <v>130</v>
      </c>
      <c r="B8" s="57" t="s">
        <v>71</v>
      </c>
      <c r="C8" s="57">
        <v>2</v>
      </c>
      <c r="D8" s="57" t="s">
        <v>75</v>
      </c>
      <c r="E8" s="57">
        <v>56</v>
      </c>
      <c r="G8" s="57" t="s">
        <v>76</v>
      </c>
      <c r="H8" s="57" t="s">
        <v>77</v>
      </c>
      <c r="I8" s="57" t="s">
        <v>193</v>
      </c>
      <c r="J8" s="64" t="s">
        <v>190</v>
      </c>
      <c r="K8" s="55"/>
      <c r="L8" s="57" t="s">
        <v>191</v>
      </c>
      <c r="M8" s="59">
        <v>2.7E-2</v>
      </c>
      <c r="N8" s="59">
        <v>4.4999999999999997E-3</v>
      </c>
      <c r="R8" s="30" t="s">
        <v>207</v>
      </c>
      <c r="S8" s="30"/>
    </row>
    <row r="9" spans="1:20" s="57" customFormat="1" ht="15.5" x14ac:dyDescent="0.35">
      <c r="A9" s="57" t="s">
        <v>130</v>
      </c>
      <c r="B9" s="57" t="s">
        <v>71</v>
      </c>
      <c r="C9" s="57">
        <v>1.26</v>
      </c>
      <c r="D9" s="57">
        <v>0.17</v>
      </c>
      <c r="E9" s="57">
        <v>2</v>
      </c>
      <c r="G9" s="57" t="s">
        <v>73</v>
      </c>
      <c r="H9" s="57" t="s">
        <v>78</v>
      </c>
      <c r="I9" s="57" t="s">
        <v>194</v>
      </c>
      <c r="J9" s="64">
        <v>5</v>
      </c>
      <c r="K9" s="55">
        <v>2</v>
      </c>
      <c r="L9" s="57" t="s">
        <v>73</v>
      </c>
      <c r="O9" s="57" t="s">
        <v>214</v>
      </c>
      <c r="R9" s="30" t="s">
        <v>208</v>
      </c>
      <c r="S9" s="30"/>
    </row>
    <row r="10" spans="1:20" s="57" customFormat="1" ht="15.5" x14ac:dyDescent="0.35">
      <c r="A10" s="57" t="s">
        <v>130</v>
      </c>
      <c r="B10" s="57" t="s">
        <v>79</v>
      </c>
      <c r="C10" s="57">
        <v>5</v>
      </c>
      <c r="D10" s="57" t="s">
        <v>75</v>
      </c>
      <c r="E10" s="57">
        <v>3</v>
      </c>
      <c r="G10" s="57" t="s">
        <v>73</v>
      </c>
      <c r="H10" s="57" t="s">
        <v>80</v>
      </c>
      <c r="I10" s="57" t="s">
        <v>196</v>
      </c>
      <c r="J10" s="64">
        <v>5</v>
      </c>
      <c r="K10" s="55">
        <v>1</v>
      </c>
      <c r="L10" s="57" t="s">
        <v>73</v>
      </c>
      <c r="R10" s="30" t="s">
        <v>209</v>
      </c>
      <c r="S10" s="30"/>
    </row>
    <row r="11" spans="1:20" s="57" customFormat="1" ht="15.5" x14ac:dyDescent="0.35">
      <c r="A11" s="57" t="s">
        <v>130</v>
      </c>
      <c r="B11" s="57" t="s">
        <v>81</v>
      </c>
      <c r="C11" s="57">
        <v>1.4</v>
      </c>
      <c r="D11" s="57" t="s">
        <v>75</v>
      </c>
      <c r="E11" s="57">
        <v>6</v>
      </c>
      <c r="G11" s="57" t="s">
        <v>76</v>
      </c>
      <c r="H11" s="57" t="s">
        <v>82</v>
      </c>
      <c r="I11" s="57" t="s">
        <v>197</v>
      </c>
      <c r="J11" s="55" t="s">
        <v>190</v>
      </c>
      <c r="K11" s="55"/>
      <c r="R11" s="30" t="s">
        <v>210</v>
      </c>
      <c r="S11" s="30"/>
    </row>
    <row r="12" spans="1:20" s="57" customFormat="1" x14ac:dyDescent="0.35">
      <c r="A12" s="57" t="s">
        <v>130</v>
      </c>
      <c r="B12" s="57" t="s">
        <v>81</v>
      </c>
      <c r="C12" s="57">
        <v>3</v>
      </c>
      <c r="D12" s="57" t="s">
        <v>75</v>
      </c>
      <c r="E12" s="57">
        <v>3</v>
      </c>
      <c r="G12" s="57" t="s">
        <v>73</v>
      </c>
      <c r="H12" s="57" t="s">
        <v>83</v>
      </c>
      <c r="I12" s="57" t="s">
        <v>198</v>
      </c>
      <c r="J12" s="55" t="s">
        <v>190</v>
      </c>
      <c r="K12" s="55"/>
      <c r="L12" s="57" t="s">
        <v>73</v>
      </c>
      <c r="S12" s="60"/>
      <c r="T12" s="61"/>
    </row>
    <row r="13" spans="1:20" s="57" customFormat="1" x14ac:dyDescent="0.35">
      <c r="A13" s="57" t="s">
        <v>125</v>
      </c>
      <c r="B13" s="57" t="s">
        <v>125</v>
      </c>
      <c r="C13" s="57">
        <v>1</v>
      </c>
      <c r="D13" s="57" t="s">
        <v>75</v>
      </c>
      <c r="E13" s="57">
        <v>2</v>
      </c>
      <c r="G13" s="62" t="s">
        <v>73</v>
      </c>
      <c r="H13" s="57" t="s">
        <v>126</v>
      </c>
      <c r="I13" s="57" t="s">
        <v>199</v>
      </c>
      <c r="J13" s="58">
        <v>3.5</v>
      </c>
      <c r="K13" s="55">
        <v>0.5</v>
      </c>
      <c r="L13" s="57" t="s">
        <v>73</v>
      </c>
      <c r="S13" s="60"/>
      <c r="T13" s="61"/>
    </row>
    <row r="14" spans="1:20" s="57" customFormat="1" x14ac:dyDescent="0.35">
      <c r="A14" s="57" t="s">
        <v>125</v>
      </c>
      <c r="B14" s="57" t="s">
        <v>125</v>
      </c>
      <c r="C14" s="57">
        <v>0.83</v>
      </c>
      <c r="D14" s="57" t="s">
        <v>75</v>
      </c>
      <c r="E14" s="57">
        <v>3</v>
      </c>
      <c r="G14" s="62" t="s">
        <v>73</v>
      </c>
      <c r="H14" s="57" t="s">
        <v>83</v>
      </c>
      <c r="I14" s="57" t="s">
        <v>200</v>
      </c>
      <c r="J14" s="58">
        <f>92/24</f>
        <v>3.8333333333333335</v>
      </c>
      <c r="K14" s="55">
        <v>0</v>
      </c>
      <c r="L14" s="57" t="s">
        <v>73</v>
      </c>
      <c r="O14" s="60"/>
      <c r="S14" s="60"/>
      <c r="T14" s="61"/>
    </row>
    <row r="15" spans="1:20" s="57" customFormat="1" x14ac:dyDescent="0.35">
      <c r="A15" s="57" t="s">
        <v>125</v>
      </c>
      <c r="B15" s="57" t="s">
        <v>125</v>
      </c>
      <c r="C15" s="57">
        <v>3.41</v>
      </c>
      <c r="D15" s="57" t="s">
        <v>75</v>
      </c>
      <c r="E15" s="57">
        <v>66</v>
      </c>
      <c r="G15" s="57" t="s">
        <v>120</v>
      </c>
      <c r="H15" s="57" t="s">
        <v>127</v>
      </c>
      <c r="I15" s="57" t="s">
        <v>201</v>
      </c>
      <c r="J15" s="58">
        <f>82.2/24</f>
        <v>3.4250000000000003</v>
      </c>
      <c r="K15" s="58">
        <f>SQRT(SUMSQ(9.2/24, 2/8.6*טבלה5[[#This Row],[True turnover (days)]]))</f>
        <v>0.88395430754958526</v>
      </c>
      <c r="L15" s="57" t="s">
        <v>120</v>
      </c>
      <c r="O15" s="57" t="s">
        <v>213</v>
      </c>
    </row>
    <row r="16" spans="1:20" s="57" customFormat="1" x14ac:dyDescent="0.35">
      <c r="A16" s="57" t="s">
        <v>125</v>
      </c>
      <c r="B16" s="57" t="s">
        <v>125</v>
      </c>
      <c r="C16" s="57">
        <v>1.63</v>
      </c>
      <c r="D16" s="57" t="s">
        <v>75</v>
      </c>
      <c r="E16" s="57">
        <v>1</v>
      </c>
      <c r="G16" s="62" t="s">
        <v>73</v>
      </c>
      <c r="H16" s="57" t="s">
        <v>128</v>
      </c>
      <c r="J16" s="55" t="s">
        <v>190</v>
      </c>
      <c r="K16" s="55"/>
    </row>
    <row r="17" spans="1:12" s="57" customFormat="1" x14ac:dyDescent="0.35">
      <c r="A17" s="57" t="s">
        <v>125</v>
      </c>
      <c r="B17" s="57" t="s">
        <v>125</v>
      </c>
      <c r="C17" s="57">
        <v>3.04</v>
      </c>
      <c r="D17" s="57">
        <v>0.25</v>
      </c>
      <c r="E17" s="57">
        <v>8</v>
      </c>
      <c r="G17" s="62" t="s">
        <v>73</v>
      </c>
      <c r="H17" s="57" t="s">
        <v>129</v>
      </c>
      <c r="I17" s="57" t="s">
        <v>202</v>
      </c>
      <c r="J17" s="58">
        <v>3.04</v>
      </c>
      <c r="K17" s="55">
        <v>0.25</v>
      </c>
      <c r="L17" s="57" t="s">
        <v>73</v>
      </c>
    </row>
    <row r="18" spans="1:12" x14ac:dyDescent="0.35">
      <c r="J18" s="58"/>
    </row>
    <row r="19" spans="1:12" x14ac:dyDescent="0.35">
      <c r="J19" s="5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
  <sheetViews>
    <sheetView workbookViewId="0">
      <selection activeCell="B4" sqref="B4"/>
    </sheetView>
  </sheetViews>
  <sheetFormatPr defaultRowHeight="14.5" x14ac:dyDescent="0.35"/>
  <cols>
    <col min="1" max="1" width="17.26953125" bestFit="1" customWidth="1"/>
    <col min="2" max="2" width="12" bestFit="1" customWidth="1"/>
    <col min="5" max="5" width="25.54296875" customWidth="1"/>
    <col min="6" max="6" width="43.26953125" bestFit="1" customWidth="1"/>
  </cols>
  <sheetData>
    <row r="1" spans="1:10" x14ac:dyDescent="0.35">
      <c r="A1" t="s">
        <v>12</v>
      </c>
      <c r="B1" t="s">
        <v>94</v>
      </c>
      <c r="C1" t="s">
        <v>66</v>
      </c>
      <c r="D1" t="s">
        <v>95</v>
      </c>
      <c r="E1" t="s">
        <v>30</v>
      </c>
      <c r="F1" t="s">
        <v>103</v>
      </c>
      <c r="J1" s="33" t="s">
        <v>100</v>
      </c>
    </row>
    <row r="2" spans="1:10" x14ac:dyDescent="0.35">
      <c r="A2" t="s">
        <v>97</v>
      </c>
      <c r="B2">
        <v>6000</v>
      </c>
      <c r="C2">
        <v>2000</v>
      </c>
      <c r="D2" t="s">
        <v>98</v>
      </c>
      <c r="E2" t="s">
        <v>99</v>
      </c>
      <c r="J2" t="s">
        <v>101</v>
      </c>
    </row>
    <row r="3" spans="1:10" x14ac:dyDescent="0.35">
      <c r="A3" t="s">
        <v>104</v>
      </c>
      <c r="B3" s="34">
        <f>190*4.8*PI()</f>
        <v>2865.1325000738912</v>
      </c>
      <c r="C3" s="36">
        <f>SQRT(SUMSQ(5/190,0.4/4.8))</f>
        <v>8.7389731777067006E-2</v>
      </c>
      <c r="D3" t="s">
        <v>105</v>
      </c>
      <c r="E3" t="s">
        <v>102</v>
      </c>
      <c r="F3" t="s">
        <v>106</v>
      </c>
      <c r="J3" s="46" t="s">
        <v>144</v>
      </c>
    </row>
    <row r="4" spans="1:10" x14ac:dyDescent="0.35">
      <c r="A4" t="s">
        <v>111</v>
      </c>
      <c r="B4" s="34">
        <f>ROUND(AVERAGE(crypt_cells[mean crypt cells]),-1)</f>
        <v>3270</v>
      </c>
      <c r="C4" s="34">
        <f>ROUND(STDEV(crypt_cells[mean crypt cells])/SQRT(COUNT(crypt_cells[mean crypt cells])),-1)</f>
        <v>440</v>
      </c>
      <c r="D4" s="31" t="s">
        <v>110</v>
      </c>
      <c r="E4" t="s">
        <v>107</v>
      </c>
      <c r="J4" t="s">
        <v>145</v>
      </c>
    </row>
    <row r="5" spans="1:10" x14ac:dyDescent="0.35">
      <c r="A5" t="s">
        <v>113</v>
      </c>
      <c r="B5" s="35">
        <v>250000000</v>
      </c>
      <c r="C5">
        <v>0</v>
      </c>
      <c r="D5" t="s">
        <v>114</v>
      </c>
      <c r="E5" t="s">
        <v>112</v>
      </c>
      <c r="J5" t="s">
        <v>148</v>
      </c>
    </row>
    <row r="6" spans="1:10" x14ac:dyDescent="0.35">
      <c r="A6" t="s">
        <v>115</v>
      </c>
      <c r="B6" s="32">
        <v>0.3</v>
      </c>
      <c r="C6">
        <v>0</v>
      </c>
      <c r="D6" t="s">
        <v>96</v>
      </c>
      <c r="E6" t="s">
        <v>112</v>
      </c>
    </row>
    <row r="7" spans="1:10" x14ac:dyDescent="0.35">
      <c r="A7" t="s">
        <v>116</v>
      </c>
      <c r="B7">
        <v>70</v>
      </c>
      <c r="C7">
        <v>0</v>
      </c>
      <c r="D7" t="s">
        <v>96</v>
      </c>
      <c r="E7" t="s">
        <v>112</v>
      </c>
    </row>
    <row r="8" spans="1:10" x14ac:dyDescent="0.35">
      <c r="B8" s="37"/>
    </row>
    <row r="10" spans="1:10" x14ac:dyDescent="0.35">
      <c r="B10" s="3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election activeCell="B7" sqref="B7"/>
    </sheetView>
  </sheetViews>
  <sheetFormatPr defaultRowHeight="14.5" x14ac:dyDescent="0.35"/>
  <cols>
    <col min="1" max="1" width="9.54296875" customWidth="1"/>
    <col min="2" max="2" width="17.453125" customWidth="1"/>
  </cols>
  <sheetData>
    <row r="1" spans="1:2" x14ac:dyDescent="0.35">
      <c r="A1" t="s">
        <v>109</v>
      </c>
      <c r="B1" t="s">
        <v>108</v>
      </c>
    </row>
    <row r="2" spans="1:2" x14ac:dyDescent="0.35">
      <c r="A2">
        <v>1</v>
      </c>
      <c r="B2">
        <v>4840.2555910543097</v>
      </c>
    </row>
    <row r="3" spans="1:2" x14ac:dyDescent="0.35">
      <c r="A3">
        <v>2</v>
      </c>
      <c r="B3">
        <v>3466.4536741214001</v>
      </c>
    </row>
    <row r="4" spans="1:2" x14ac:dyDescent="0.35">
      <c r="A4">
        <v>3</v>
      </c>
      <c r="B4">
        <v>3514.3769968051101</v>
      </c>
    </row>
    <row r="5" spans="1:2" x14ac:dyDescent="0.35">
      <c r="A5">
        <v>4</v>
      </c>
      <c r="B5">
        <v>3290.7348242811399</v>
      </c>
    </row>
    <row r="6" spans="1:2" x14ac:dyDescent="0.35">
      <c r="A6">
        <v>5</v>
      </c>
      <c r="B6">
        <v>2963.2587859424898</v>
      </c>
    </row>
    <row r="7" spans="1:2" x14ac:dyDescent="0.35">
      <c r="A7">
        <v>6</v>
      </c>
      <c r="B7">
        <v>1525.5591054313099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workbookViewId="0">
      <selection activeCell="A6" sqref="A6"/>
    </sheetView>
  </sheetViews>
  <sheetFormatPr defaultRowHeight="14.5" x14ac:dyDescent="0.35"/>
  <cols>
    <col min="2" max="2" width="20.1796875" customWidth="1"/>
    <col min="3" max="3" width="18.7265625" customWidth="1"/>
    <col min="4" max="4" width="19.26953125" customWidth="1"/>
    <col min="5" max="5" width="18.26953125" customWidth="1"/>
    <col min="6" max="6" width="13.1796875" bestFit="1" customWidth="1"/>
    <col min="7" max="7" width="14.1796875" bestFit="1" customWidth="1"/>
    <col min="12" max="12" width="12" bestFit="1" customWidth="1"/>
  </cols>
  <sheetData>
    <row r="1" spans="1:17" ht="33.75" customHeight="1" x14ac:dyDescent="0.35">
      <c r="A1" s="43" t="s">
        <v>136</v>
      </c>
      <c r="B1" s="43" t="s">
        <v>138</v>
      </c>
      <c r="C1" s="43" t="s">
        <v>139</v>
      </c>
      <c r="D1" s="43" t="s">
        <v>140</v>
      </c>
      <c r="E1" s="43" t="s">
        <v>141</v>
      </c>
      <c r="F1" s="43" t="s">
        <v>142</v>
      </c>
      <c r="G1" s="43" t="s">
        <v>143</v>
      </c>
    </row>
    <row r="2" spans="1:17" x14ac:dyDescent="0.35">
      <c r="A2" t="s">
        <v>131</v>
      </c>
      <c r="B2" s="36">
        <v>0.13</v>
      </c>
      <c r="C2" s="40">
        <v>8.1395348837200038E-3</v>
      </c>
      <c r="D2" s="34">
        <v>100.77399380804898</v>
      </c>
      <c r="E2" s="34">
        <v>8.8235294117650085</v>
      </c>
      <c r="F2" s="34">
        <f>Table2[[#This Row],[mean mucus volume per cell (fl)]]/Table2[[#This Row],[mean mucus volume density (%)]]</f>
        <v>775.18456775422294</v>
      </c>
      <c r="G2" s="34">
        <f>SQRT(SUMSQ(Table2[[#This Row],[SEM mucus volume per cell (fl)]]/Table2[[#This Row],[mean mucus volume density (%)]],Table2[[#This Row],[mean mucus volume per cell (fl)]]*Table2[[#This Row],[SEM mucus volume density (%) ]]/(Table2[[#This Row],[mean mucus volume density (%)]]^2)))</f>
        <v>83.441596805947896</v>
      </c>
      <c r="I2" s="36"/>
      <c r="J2" s="36"/>
      <c r="K2" s="36"/>
      <c r="M2" s="36"/>
    </row>
    <row r="3" spans="1:17" x14ac:dyDescent="0.35">
      <c r="A3" t="s">
        <v>132</v>
      </c>
      <c r="B3" s="36">
        <v>0.20558139534883701</v>
      </c>
      <c r="C3" s="40">
        <v>6.7441860465109827E-3</v>
      </c>
      <c r="D3" s="34">
        <v>154.17956656346701</v>
      </c>
      <c r="E3" s="34">
        <v>26.934984520123994</v>
      </c>
      <c r="F3" s="34">
        <f>Table2[[#This Row],[mean mucus volume per cell (fl)]]/Table2[[#This Row],[mean mucus volume density (%)]]</f>
        <v>749.96847989016828</v>
      </c>
      <c r="G3" s="34">
        <f>SQRT(SUMSQ(Table2[[#This Row],[SEM mucus volume per cell (fl)]]/Table2[[#This Row],[mean mucus volume density (%)]],Table2[[#This Row],[mean mucus volume per cell (fl)]]*Table2[[#This Row],[SEM mucus volume density (%) ]]/(Table2[[#This Row],[mean mucus volume density (%)]]^2)))</f>
        <v>133.30859081806889</v>
      </c>
      <c r="I3" s="36"/>
      <c r="J3" s="36"/>
      <c r="K3" s="36"/>
    </row>
    <row r="4" spans="1:17" x14ac:dyDescent="0.35">
      <c r="A4" t="s">
        <v>133</v>
      </c>
      <c r="B4" s="36">
        <v>0.184883720930232</v>
      </c>
      <c r="C4" s="40">
        <v>1.1162790697674972E-2</v>
      </c>
      <c r="D4" s="34">
        <v>191.79566563467401</v>
      </c>
      <c r="E4" s="34">
        <v>26.934984520123994</v>
      </c>
      <c r="F4" s="34">
        <f>Table2[[#This Row],[mean mucus volume per cell (fl)]]/Table2[[#This Row],[mean mucus volume density (%)]]</f>
        <v>1037.3853612944663</v>
      </c>
      <c r="G4" s="34">
        <f>SQRT(SUMSQ(Table2[[#This Row],[SEM mucus volume per cell (fl)]]/Table2[[#This Row],[mean mucus volume density (%)]],Table2[[#This Row],[mean mucus volume per cell (fl)]]*Table2[[#This Row],[SEM mucus volume density (%) ]]/(Table2[[#This Row],[mean mucus volume density (%)]]^2)))</f>
        <v>158.57971320825655</v>
      </c>
      <c r="I4" s="36"/>
      <c r="J4" s="36"/>
      <c r="K4" s="36"/>
    </row>
    <row r="5" spans="1:17" x14ac:dyDescent="0.35">
      <c r="A5" t="s">
        <v>134</v>
      </c>
      <c r="B5" s="36">
        <v>0.17139534883720897</v>
      </c>
      <c r="C5" s="40">
        <v>1.139534883720902E-2</v>
      </c>
      <c r="D5" s="34">
        <v>143.49845201238301</v>
      </c>
      <c r="E5" s="34">
        <v>13.931888544892001</v>
      </c>
      <c r="F5" s="34">
        <f>Table2[[#This Row],[mean mucus volume per cell (fl)]]/Table2[[#This Row],[mean mucus volume density (%)]]</f>
        <v>837.2365585525755</v>
      </c>
      <c r="G5" s="34">
        <f>SQRT(SUMSQ(Table2[[#This Row],[SEM mucus volume per cell (fl)]]/Table2[[#This Row],[mean mucus volume density (%)]],Table2[[#This Row],[mean mucus volume per cell (fl)]]*Table2[[#This Row],[SEM mucus volume density (%) ]]/(Table2[[#This Row],[mean mucus volume density (%)]]^2)))</f>
        <v>98.517930195060814</v>
      </c>
      <c r="I5" s="36"/>
      <c r="J5" s="36"/>
      <c r="K5" s="36"/>
    </row>
    <row r="6" spans="1:17" x14ac:dyDescent="0.35">
      <c r="A6" t="s">
        <v>135</v>
      </c>
      <c r="B6" s="36">
        <v>0.175813953488372</v>
      </c>
      <c r="C6" s="40">
        <v>7.9069767441859902E-3</v>
      </c>
      <c r="D6" s="34">
        <v>127.24458204334299</v>
      </c>
      <c r="E6" s="34">
        <v>2.7863777089790043</v>
      </c>
      <c r="F6" s="34">
        <f>Table2[[#This Row],[mean mucus volume per cell (fl)]]/Table2[[#This Row],[mean mucus volume density (%)]]</f>
        <v>723.74563860631633</v>
      </c>
      <c r="G6" s="34">
        <f>SQRT(SUMSQ(Table2[[#This Row],[SEM mucus volume per cell (fl)]]/Table2[[#This Row],[mean mucus volume density (%)]],Table2[[#This Row],[mean mucus volume per cell (fl)]]*Table2[[#This Row],[SEM mucus volume density (%) ]]/(Table2[[#This Row],[mean mucus volume density (%)]]^2)))</f>
        <v>36.202722209333643</v>
      </c>
      <c r="I6" s="36"/>
      <c r="J6" s="36"/>
      <c r="K6" s="36"/>
      <c r="Q6" s="37"/>
    </row>
    <row r="7" spans="1:17" x14ac:dyDescent="0.35">
      <c r="I7" s="42"/>
      <c r="J7" s="34"/>
      <c r="Q7" s="37"/>
    </row>
    <row r="8" spans="1:17" x14ac:dyDescent="0.35">
      <c r="I8" s="42"/>
      <c r="J8" s="34"/>
    </row>
    <row r="9" spans="1:17" x14ac:dyDescent="0.35">
      <c r="I9" s="42"/>
      <c r="J9" s="34"/>
    </row>
    <row r="10" spans="1:17" x14ac:dyDescent="0.35">
      <c r="I10" s="42"/>
      <c r="J10" s="34"/>
    </row>
    <row r="11" spans="1:17" x14ac:dyDescent="0.35">
      <c r="A11" s="4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9"/>
  <sheetViews>
    <sheetView zoomScale="85" zoomScaleNormal="85" workbookViewId="0">
      <selection activeCell="B13" sqref="B13"/>
    </sheetView>
  </sheetViews>
  <sheetFormatPr defaultRowHeight="14.5" x14ac:dyDescent="0.35"/>
  <cols>
    <col min="1" max="1" width="43.26953125" bestFit="1" customWidth="1"/>
    <col min="5" max="5" width="18" bestFit="1" customWidth="1"/>
    <col min="6" max="6" width="26.81640625" bestFit="1" customWidth="1"/>
  </cols>
  <sheetData>
    <row r="1" spans="1:14" x14ac:dyDescent="0.35">
      <c r="A1" t="s">
        <v>12</v>
      </c>
      <c r="B1" t="s">
        <v>94</v>
      </c>
      <c r="C1" s="49" t="s">
        <v>66</v>
      </c>
      <c r="D1" s="49" t="s">
        <v>95</v>
      </c>
      <c r="E1" t="s">
        <v>30</v>
      </c>
      <c r="F1" t="s">
        <v>103</v>
      </c>
      <c r="N1" s="33" t="s">
        <v>30</v>
      </c>
    </row>
    <row r="2" spans="1:14" x14ac:dyDescent="0.35">
      <c r="A2" t="s">
        <v>160</v>
      </c>
      <c r="B2" s="45">
        <v>0.17</v>
      </c>
      <c r="C2" s="50">
        <f t="shared" ref="C2" si="0">(20%-12%)/4</f>
        <v>2.0000000000000004E-2</v>
      </c>
      <c r="D2" s="49" t="s">
        <v>150</v>
      </c>
      <c r="E2" t="s">
        <v>149</v>
      </c>
      <c r="N2" s="46" t="s">
        <v>146</v>
      </c>
    </row>
    <row r="3" spans="1:14" x14ac:dyDescent="0.35">
      <c r="A3" t="s">
        <v>161</v>
      </c>
      <c r="B3" s="36">
        <v>0.06</v>
      </c>
      <c r="C3" s="50">
        <f>(9%-4%)/4</f>
        <v>1.2499999999999999E-2</v>
      </c>
      <c r="D3" s="49" t="s">
        <v>150</v>
      </c>
      <c r="E3" t="s">
        <v>149</v>
      </c>
      <c r="N3" s="46" t="s">
        <v>147</v>
      </c>
    </row>
    <row r="4" spans="1:14" x14ac:dyDescent="0.35">
      <c r="A4" t="s">
        <v>152</v>
      </c>
      <c r="B4" s="45">
        <v>0.8</v>
      </c>
      <c r="C4" s="50">
        <f>(26%-16%)/4</f>
        <v>2.5000000000000001E-2</v>
      </c>
      <c r="D4" s="49" t="s">
        <v>150</v>
      </c>
      <c r="E4" t="s">
        <v>149</v>
      </c>
      <c r="J4" s="34"/>
      <c r="K4" s="34"/>
      <c r="N4" t="s">
        <v>153</v>
      </c>
    </row>
    <row r="5" spans="1:14" x14ac:dyDescent="0.35">
      <c r="A5" t="s">
        <v>162</v>
      </c>
      <c r="B5" s="45">
        <v>0.83</v>
      </c>
      <c r="C5" s="50">
        <v>0.02</v>
      </c>
      <c r="D5" s="49" t="s">
        <v>150</v>
      </c>
      <c r="E5" t="s">
        <v>149</v>
      </c>
      <c r="J5" s="34"/>
      <c r="K5" s="34"/>
    </row>
    <row r="6" spans="1:14" x14ac:dyDescent="0.35">
      <c r="A6" t="s">
        <v>163</v>
      </c>
      <c r="B6" s="36">
        <v>0.38</v>
      </c>
      <c r="C6" s="41">
        <v>0.02</v>
      </c>
      <c r="D6" t="s">
        <v>150</v>
      </c>
      <c r="E6" t="s">
        <v>149</v>
      </c>
    </row>
    <row r="7" spans="1:14" x14ac:dyDescent="0.35">
      <c r="A7" t="s">
        <v>157</v>
      </c>
      <c r="B7" s="39">
        <v>150</v>
      </c>
      <c r="C7" s="44">
        <f>46/SQRT(49)</f>
        <v>6.5714285714285712</v>
      </c>
      <c r="D7" t="s">
        <v>151</v>
      </c>
      <c r="E7" t="s">
        <v>154</v>
      </c>
      <c r="F7" t="s">
        <v>155</v>
      </c>
    </row>
    <row r="8" spans="1:14" x14ac:dyDescent="0.35">
      <c r="A8" t="s">
        <v>164</v>
      </c>
      <c r="B8" s="34">
        <f>stomach_mucusal_cells_volume!$F$2</f>
        <v>775.18456775422294</v>
      </c>
      <c r="C8" s="34">
        <f>stomach_mucusal_cells_volume!G2</f>
        <v>83.441596805947896</v>
      </c>
      <c r="D8" t="s">
        <v>137</v>
      </c>
      <c r="E8" t="s">
        <v>156</v>
      </c>
      <c r="F8" t="s">
        <v>158</v>
      </c>
    </row>
    <row r="9" spans="1:14" x14ac:dyDescent="0.35">
      <c r="A9" t="s">
        <v>165</v>
      </c>
      <c r="B9" s="34">
        <f>AVERAGE(stomach_mucusal_cells_volume!F3:F6)</f>
        <v>837.08400958588163</v>
      </c>
      <c r="C9" s="34">
        <f>SQRT(SUMSQ(AVERAGE(stomach_mucusal_cells_volume!G3:G6),STDEV(stomach_mucusal_cells_volume!$F$3:$F$6)/SQRT(COUNT(stomach_mucusal_cells_volume!$F$3:$F$6))))</f>
        <v>128.14437102285615</v>
      </c>
      <c r="D9" t="s">
        <v>137</v>
      </c>
      <c r="E9" t="s">
        <v>156</v>
      </c>
      <c r="F9" t="s">
        <v>159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small_intestine_SA_data</vt:lpstr>
      <vt:lpstr>villi_and_crypts_data</vt:lpstr>
      <vt:lpstr>potassium_data</vt:lpstr>
      <vt:lpstr>cellular_mass_conversion</vt:lpstr>
      <vt:lpstr>enterocyte_turnover</vt:lpstr>
      <vt:lpstr>colon_properties</vt:lpstr>
      <vt:lpstr>Nooteboom et al., 2010</vt:lpstr>
      <vt:lpstr>stomach_mucusal_cells_volume</vt:lpstr>
      <vt:lpstr>stomach_properties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2020-09-06T16:09:46Z</dcterms:modified>
</cp:coreProperties>
</file>