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Human_hepatocytes" sheetId="8" r:id="rId1"/>
    <sheet name="Total_cell_mass_data" sheetId="4" r:id="rId2"/>
    <sheet name="Rodent_nuclei_density" sheetId="1" r:id="rId3"/>
    <sheet name="Cell_dist" sheetId="2" r:id="rId4"/>
    <sheet name="Lifespan_rodents" sheetId="11" r:id="rId5"/>
    <sheet name="Kupffer_cells_size" sheetId="6" r:id="rId6"/>
    <sheet name="Wiśniewski et al., 2016" sheetId="7" r:id="rId7"/>
    <sheet name="Gates et al., 1961" sheetId="3" r:id="rId8"/>
    <sheet name="Sheet3" sheetId="5" r:id="rId9"/>
    <sheet name="King et al., 1998" sheetId="9" r:id="rId10"/>
    <sheet name="Sheet8"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1" l="1"/>
  <c r="B2" i="11"/>
  <c r="B4" i="11"/>
  <c r="C4" i="11"/>
  <c r="C3" i="11"/>
  <c r="B3" i="11"/>
  <c r="L29" i="10" l="1"/>
  <c r="L28" i="10"/>
  <c r="L27" i="10"/>
  <c r="L24" i="10"/>
  <c r="L23" i="10"/>
  <c r="L26" i="10"/>
  <c r="L25" i="10"/>
  <c r="L21" i="10"/>
  <c r="L22" i="10"/>
  <c r="L18" i="10"/>
  <c r="L19" i="10"/>
  <c r="L15" i="10"/>
  <c r="L17" i="10"/>
  <c r="L16" i="10"/>
  <c r="L14" i="10"/>
  <c r="L13" i="10"/>
  <c r="L11" i="10"/>
  <c r="L12" i="10"/>
  <c r="J11" i="10"/>
  <c r="I11" i="10"/>
  <c r="I12" i="10"/>
  <c r="J12" i="10"/>
  <c r="I9" i="10"/>
  <c r="L9" i="10" s="1"/>
  <c r="J9" i="10"/>
  <c r="J10" i="10"/>
  <c r="I10" i="10"/>
  <c r="L10" i="10" s="1"/>
  <c r="L7" i="10"/>
  <c r="J8" i="10"/>
  <c r="I8" i="10"/>
  <c r="L8" i="10" s="1"/>
  <c r="L6" i="10"/>
  <c r="L5" i="10"/>
  <c r="L4" i="10"/>
  <c r="L2" i="10"/>
  <c r="J3" i="10"/>
  <c r="I3" i="10"/>
  <c r="L3" i="10" s="1"/>
  <c r="J2" i="10"/>
  <c r="I2" i="10"/>
  <c r="B10" i="9" l="1"/>
  <c r="G4" i="2" l="1"/>
  <c r="D4" i="2"/>
  <c r="Q2" i="3"/>
  <c r="E23" i="5"/>
  <c r="I26" i="5"/>
  <c r="G23" i="5"/>
  <c r="G21" i="5"/>
  <c r="M3" i="2"/>
  <c r="N3" i="2"/>
  <c r="F7" i="4"/>
  <c r="B7" i="4"/>
  <c r="F5" i="4" l="1"/>
  <c r="F3" i="4"/>
  <c r="D2" i="4"/>
  <c r="F2" i="4" s="1"/>
  <c r="I2" i="8"/>
  <c r="E3" i="8"/>
  <c r="D3" i="8"/>
  <c r="G4" i="8"/>
  <c r="F4" i="8"/>
  <c r="G5" i="8"/>
  <c r="F5" i="8"/>
  <c r="E6" i="8"/>
  <c r="B2" i="7"/>
  <c r="B3" i="7"/>
  <c r="B4" i="7"/>
  <c r="B5" i="7"/>
  <c r="B6" i="7"/>
  <c r="B7" i="7"/>
  <c r="B8" i="7"/>
  <c r="J23" i="5"/>
  <c r="I23" i="5"/>
  <c r="I21" i="5"/>
  <c r="J19" i="5"/>
  <c r="J21" i="5" s="1"/>
  <c r="J26" i="5" s="1"/>
  <c r="I19" i="5"/>
  <c r="E19" i="5"/>
  <c r="E21" i="5" s="1"/>
  <c r="E18" i="5"/>
  <c r="B10" i="5"/>
  <c r="B9" i="5"/>
  <c r="L8" i="5"/>
  <c r="B8" i="5"/>
  <c r="L7" i="5"/>
  <c r="B7" i="5"/>
  <c r="L6" i="5"/>
  <c r="E6" i="5"/>
  <c r="L5" i="5"/>
  <c r="N5" i="5" s="1"/>
  <c r="E5" i="5"/>
  <c r="E4" i="5"/>
  <c r="B2" i="1"/>
  <c r="B3" i="1"/>
  <c r="B4" i="1"/>
  <c r="F4" i="1"/>
  <c r="L5" i="2"/>
  <c r="L4" i="2"/>
  <c r="K4" i="2"/>
  <c r="K5" i="2"/>
  <c r="J6" i="5" l="1"/>
  <c r="N7" i="5"/>
  <c r="O7" i="5" s="1"/>
  <c r="N8" i="5"/>
  <c r="O8" i="5" s="1"/>
  <c r="N6" i="5"/>
  <c r="O6" i="5" s="1"/>
  <c r="J7" i="5"/>
  <c r="M4" i="3"/>
  <c r="M3" i="3"/>
  <c r="M2" i="3"/>
  <c r="I5" i="3" l="1"/>
  <c r="G3" i="3"/>
  <c r="I3" i="3" s="1"/>
  <c r="G2" i="3"/>
  <c r="D4" i="3"/>
  <c r="D3" i="3"/>
  <c r="D2" i="3"/>
  <c r="I2" i="3" l="1"/>
  <c r="H2" i="3"/>
  <c r="H3" i="3"/>
</calcChain>
</file>

<file path=xl/comments1.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converted from 1mmX1mmX1micron</t>
        </r>
      </text>
    </comment>
    <comment ref="K5" authorId="0" shapeId="0">
      <text>
        <r>
          <rPr>
            <b/>
            <sz val="9"/>
            <color indexed="81"/>
            <rFont val="Tahoma"/>
            <family val="2"/>
          </rPr>
          <t>Author:</t>
        </r>
        <r>
          <rPr>
            <sz val="9"/>
            <color indexed="81"/>
            <rFont val="Tahoma"/>
            <family val="2"/>
          </rPr>
          <t xml:space="preserve">
62% including the stellate cells. Used the proportion from [2]</t>
        </r>
      </text>
    </comment>
    <comment ref="L5" authorId="0" shapeId="0">
      <text>
        <r>
          <rPr>
            <b/>
            <sz val="9"/>
            <color indexed="81"/>
            <rFont val="Tahoma"/>
            <family val="2"/>
          </rPr>
          <t>Author:</t>
        </r>
        <r>
          <rPr>
            <sz val="9"/>
            <color indexed="81"/>
            <rFont val="Tahoma"/>
            <family val="2"/>
          </rPr>
          <t xml:space="preserve">
62% including the stellate cells. Used the proportion from [2]</t>
        </r>
      </text>
    </comment>
  </commentList>
</comments>
</file>

<file path=xl/comments2.xml><?xml version="1.0" encoding="utf-8"?>
<comments xmlns="http://schemas.openxmlformats.org/spreadsheetml/2006/main">
  <authors>
    <author>Author</author>
  </authors>
  <commentList>
    <comment ref="C21" authorId="0" shapeId="0">
      <text>
        <r>
          <rPr>
            <b/>
            <sz val="9"/>
            <color indexed="81"/>
            <rFont val="Tahoma"/>
            <family val="2"/>
          </rPr>
          <t>Author:</t>
        </r>
        <r>
          <rPr>
            <sz val="9"/>
            <color indexed="81"/>
            <rFont val="Tahoma"/>
            <family val="2"/>
          </rPr>
          <t xml:space="preserve">
liver samples collected at the time of histological diagnosis of cirrhosis. </t>
        </r>
      </text>
    </comment>
  </commentList>
</comments>
</file>

<file path=xl/sharedStrings.xml><?xml version="1.0" encoding="utf-8"?>
<sst xmlns="http://schemas.openxmlformats.org/spreadsheetml/2006/main" count="386" uniqueCount="272">
  <si>
    <t>cells</t>
  </si>
  <si>
    <t>cell type</t>
  </si>
  <si>
    <t>endothelial cells</t>
  </si>
  <si>
    <t>hepatocytes</t>
  </si>
  <si>
    <t>Kupffer cells</t>
  </si>
  <si>
    <t>stellate cells</t>
  </si>
  <si>
    <t>SEM % of parenchymal vol [1]</t>
  </si>
  <si>
    <t>[1]</t>
  </si>
  <si>
    <t>Blouin et al., 1977</t>
  </si>
  <si>
    <t>soruces</t>
  </si>
  <si>
    <t>Feudenberg et al., 1989</t>
  </si>
  <si>
    <t>[2]</t>
  </si>
  <si>
    <t>non-parenchymal</t>
  </si>
  <si>
    <t>parenchymal</t>
  </si>
  <si>
    <t>[3]</t>
  </si>
  <si>
    <t>source</t>
  </si>
  <si>
    <t>units</t>
  </si>
  <si>
    <t>SD</t>
  </si>
  <si>
    <t>N</t>
  </si>
  <si>
    <t>SEM</t>
  </si>
  <si>
    <t>comment</t>
  </si>
  <si>
    <t>sources</t>
  </si>
  <si>
    <t>%</t>
  </si>
  <si>
    <t>parameter</t>
  </si>
  <si>
    <t>value</t>
  </si>
  <si>
    <t>nuclei/cm^3</t>
  </si>
  <si>
    <t>paranchymal nuclei density</t>
  </si>
  <si>
    <t>total nuclei density</t>
  </si>
  <si>
    <t>Littoral</t>
  </si>
  <si>
    <t>stellate and Kupffer cells</t>
  </si>
  <si>
    <t>types</t>
  </si>
  <si>
    <t>others</t>
  </si>
  <si>
    <t>average number of cells per mg</t>
  </si>
  <si>
    <t>SEM number of cells per mg</t>
  </si>
  <si>
    <t>surgical biopsy distribution of cells</t>
  </si>
  <si>
    <t>SEM surgical biopsy distribution</t>
  </si>
  <si>
    <t>binucleated cells %</t>
  </si>
  <si>
    <t xml:space="preserve">puncture  biopsy nuclei distribution </t>
  </si>
  <si>
    <t>puncture  biopsy cell distribution</t>
  </si>
  <si>
    <t>Total</t>
  </si>
  <si>
    <t>202000</t>
  </si>
  <si>
    <t>endothelial cells etc.</t>
  </si>
  <si>
    <t>liver mass</t>
  </si>
  <si>
    <t>Snyder et al., 1975</t>
  </si>
  <si>
    <t>g</t>
  </si>
  <si>
    <t>potassium molar mass</t>
  </si>
  <si>
    <t>g/mol</t>
  </si>
  <si>
    <t>cell mass/potassium conc.</t>
  </si>
  <si>
    <t>kg/(mmol/kg)</t>
  </si>
  <si>
    <t>Wang et al., 2004</t>
  </si>
  <si>
    <t>uncertainty given for 80% range 1.4-2.3 ks, by approximation of normal distribution it is 1.28*sigma</t>
  </si>
  <si>
    <t>uncertainty given for 80% range 3.1-4.5, by approximation of normal distribution it is 1.28*sigma</t>
  </si>
  <si>
    <t>(</t>
  </si>
  <si>
    <t>square to circle</t>
  </si>
  <si>
    <t>cube to ball</t>
  </si>
  <si>
    <t>% of mice  non-parenchymal cells [2]</t>
  </si>
  <si>
    <t>Bouwen et al., 1986</t>
  </si>
  <si>
    <t>% of rat  non-parenchymal cells [3]</t>
  </si>
  <si>
    <t>% SD of rat  non-parenchymal cells [3]</t>
  </si>
  <si>
    <t>cells per g liver [3]2</t>
  </si>
  <si>
    <t>SD cells per g liver [3]</t>
  </si>
  <si>
    <t>Greengard et al., 1972</t>
  </si>
  <si>
    <t>Weibel et al., 1969</t>
  </si>
  <si>
    <t>heparocyte volume</t>
  </si>
  <si>
    <t>Wiśniewski et al., 2016</t>
  </si>
  <si>
    <t>#</t>
  </si>
  <si>
    <t>log10 vol</t>
  </si>
  <si>
    <t>[4]</t>
  </si>
  <si>
    <t>Rohr et al., 1976</t>
  </si>
  <si>
    <t>volume fraction of hepatocytes</t>
  </si>
  <si>
    <t>hepatocytes per g</t>
  </si>
  <si>
    <t>hepatocytes per ml</t>
  </si>
  <si>
    <t>Gates et al., 1961</t>
  </si>
  <si>
    <t>g/ml</t>
  </si>
  <si>
    <t>SEM volume fraction of hepatocytes</t>
  </si>
  <si>
    <t>hepatocytes volume [fl]</t>
  </si>
  <si>
    <t>SEM hepatocytes volume [fl]</t>
  </si>
  <si>
    <t>Yoshikado et al., 2017</t>
  </si>
  <si>
    <t>SEM hepatocytes per ml</t>
  </si>
  <si>
    <t>Duarte et al., 1989</t>
  </si>
  <si>
    <t>comments</t>
  </si>
  <si>
    <t>SEM hepatocytes per g</t>
  </si>
  <si>
    <t>taken from the intermediate lobular zone</t>
  </si>
  <si>
    <t>de la Iglesia et al., 1976</t>
  </si>
  <si>
    <t>taken from young 10-18 years old (mostly 15-18)</t>
  </si>
  <si>
    <t>Cirrhotic Patients ,include non-hepatocytes they considered parenchymal</t>
  </si>
  <si>
    <t>liver density</t>
  </si>
  <si>
    <t>Overmoyer et al., 1987</t>
  </si>
  <si>
    <t>volume fraction hepatocyte/total cells</t>
  </si>
  <si>
    <t>based on rat data</t>
  </si>
  <si>
    <t>liver potassium</t>
  </si>
  <si>
    <t>% of rat  non-parenchymal cells [4]</t>
  </si>
  <si>
    <t>Knook and Sleyster, 1976</t>
  </si>
  <si>
    <t>[5]</t>
  </si>
  <si>
    <t>Baratta et al., 2009</t>
  </si>
  <si>
    <t>% of mice hepatic cells [5]</t>
  </si>
  <si>
    <t>SEM % of mice hepatic cells [5]</t>
  </si>
  <si>
    <t>portal</t>
  </si>
  <si>
    <t>central</t>
  </si>
  <si>
    <r>
      <t>diameter [</t>
    </r>
    <r>
      <rPr>
        <b/>
        <sz val="11"/>
        <color theme="0"/>
        <rFont val="Calibri"/>
        <family val="2"/>
      </rPr>
      <t>µ</t>
    </r>
    <r>
      <rPr>
        <b/>
        <sz val="11"/>
        <color theme="0"/>
        <rFont val="Calibri"/>
        <family val="2"/>
        <charset val="177"/>
      </rPr>
      <t>m</t>
    </r>
    <r>
      <rPr>
        <b/>
        <sz val="11"/>
        <color theme="0"/>
        <rFont val="Calibri"/>
        <family val="2"/>
        <charset val="177"/>
        <scheme val="minor"/>
      </rPr>
      <t xml:space="preserve">] </t>
    </r>
  </si>
  <si>
    <t>area [µm^2]</t>
  </si>
  <si>
    <t>Sztark et al., 1986</t>
  </si>
  <si>
    <t>Giampieri et al., 1981</t>
  </si>
  <si>
    <t>% of rat parenchymal vol [1]</t>
  </si>
  <si>
    <t>% of human parenchymal vol [6]</t>
  </si>
  <si>
    <t>ratio cells/heparocytes [6]</t>
  </si>
  <si>
    <t>SEM ratio cells/heparocytes [6]</t>
  </si>
  <si>
    <t>[6]</t>
  </si>
  <si>
    <t>[7]</t>
  </si>
  <si>
    <t>% of human parenchymal vol [7]</t>
  </si>
  <si>
    <t>cells per ml [7]</t>
  </si>
  <si>
    <t>Reide et al., 1980</t>
  </si>
  <si>
    <t>3 year old boy</t>
  </si>
  <si>
    <t>Imamura et al., 1991</t>
  </si>
  <si>
    <t xml:space="preserve">Gates GA, Henley KS, Pollard MH, Schmidt E, Schmidt FW. The cell population of human liver. J Lab Clin Med. 1961;57: 182–184. </t>
  </si>
  <si>
    <t>Wiśniewski JR, Vildhede A, Norén A, Artursson P. In-depth quantitative analysis and comparison of the human hepatocyte and hepatoma cell line HepG2 proteomes. J Proteomics. 2016;136: 234–247. doi:10.1016/j.jprot.2016.01.016</t>
  </si>
  <si>
    <t xml:space="preserve">Rohr HP, Lfithy J, Gudat F, Oberholzer M, Gysin C, Bianchi L. Stereology of Liver Biopsies from Healthy Volunteers. Virchows Arch A Path Anat Histol. 1976;371: 251–263. </t>
  </si>
  <si>
    <t>Imamura H, Kawasaki S, Shiga J, Bandai Y, Sanjo K, Idezuki Y. Quantitative evaluation of parenchymal liver cell volume and total hepatocyte number in cirrhotic patients. Hepatology. 1991;14: 448–453. doi:10.1002/hep.1840140308</t>
  </si>
  <si>
    <t>Yoshikado T, Toshimoto K, Nakada T, Ikejiri K, Kusuhara H, Maeda K, et al. Comparison of methods for estimating unbound intracellular-to-medium concentration ratios in rat and human hepatocytes using statinss. Drug Metab Dispos. 2017;45: 779–789. doi:10.1124/dmd.116.074823</t>
  </si>
  <si>
    <t xml:space="preserve">Duarte MIS, Andrade HFJ, Mariano ON, Corbett CEP, Sesso A. Baseline volume data of human liver parenchymal cell. J Submicrosc Cytol Pathol. 1989;21: 275–79. </t>
  </si>
  <si>
    <t>De La Iglesia FA, Sturgess JM, McGuire EJ, Feuer G. Quantitative microscopic evaluation of the endoplasmic reticulum in developing human liver. Am J Pathol. 1976;82: 61–70.</t>
  </si>
  <si>
    <t>Snyder WS, Cook MJ, Nasset ES, Karhausen LR, Parry Howells G, Tipton IH. Report of the Task Group on Reference Man [Internet]. Annals of the ICRP/ICRP Publication. Pergamon Press: Oxford; 1975. doi:10.1016/S0074-2740(75)80015-8</t>
  </si>
  <si>
    <t>Wang Z, St-Onge M-P, Lecumberri B, Pi-Sunyer FX, Heshka S, Wang J, et al. Body cell mass: model development and validation at the cellular level of body composition. Am J Physiol Endocrinol Metab. 2004;286: E123-8. doi:10.1152/ajpendo.00227.2003</t>
  </si>
  <si>
    <t xml:space="preserve">Overmoyer BA, McLaren CE, Brittenham GM. Uniformity of liver density and nonheme (storage) iron distribution. Arch Pathol Lab Med. 1987;111: 549–554. </t>
  </si>
  <si>
    <t>Blouin A, Bolender RP, Weibel ER. Distribution of organelles and membranes between hepatocytes and nonhepatocytes in the rat liver parenchyma. A stereological study. J Cell Biol. 1977;72: 441–455. doi:10.1083/jcb.72.2.441</t>
  </si>
  <si>
    <t>Freudenberg N, Schalk J, Galanos C, Katschinski T, Datz O, Pein U, et al. Identification and percentage frequency of isolated non-parenchymal liver cells (NPLC) in the mouse. Virchows Arch B Cell Pathol Incl Mol Pathol. 1989;57: 109–115. doi:10.1007/BF02899071</t>
  </si>
  <si>
    <t>Bouwens L, Baekeland M, de Zanger R, Wisse E. Quantitation, tissue distribution and proliferation kinetics of kupffer cells in normal rat liver. Hepatology. 1986;6: 718–722. doi:10.1002/hep.1840060430</t>
  </si>
  <si>
    <t>Knook DL, Sleyster EC. Lysosomal enzyme activities in parenchymal and nonparenchymal liver cells isolated from young, adult and old rats. Mech Ageing Dev. 1976;5: 389–397. doi:10.1016/0047-6374(76)90036-1</t>
  </si>
  <si>
    <t>Baratta JL, Ngo A, Lopez B, Kasabwalla N, Longmuir KJ, Robertson RT. Cellular organization of normal mouse liver: A histological, quantitative immunocytochemical, and fine structural analysis. Histochem Cell Biol. 2009;131: 713–726. doi:10.1007/s00418-009-0577-1</t>
  </si>
  <si>
    <t>Giampieri MP, Jezequel AM, Orlandi F. The lipocytes in normal human liver. A quantitative study. Digestion. 1981;22: 165–169. doi:10.1159/000198640</t>
  </si>
  <si>
    <t>Sztark F, Dubroca J, Latry P, Quinton A, Balabaud C, Bioulac-Sage P. Perisinusoidal cells in patients with normal liver histology. A morphometric study. J Hepatol. 1986;2: 358–369. doi:10.1016/S0168-8278(86)80047-2</t>
  </si>
  <si>
    <t>ab.</t>
  </si>
  <si>
    <t>full</t>
  </si>
  <si>
    <t>Sasse D, Spornitz. UM, Maly IP. Liver architecture. Enzyme. 1992;46: 8–32</t>
  </si>
  <si>
    <t xml:space="preserve">Bouwens L, Baekeland M, de Zanger R, Wisse E. Quantitation, tissue distribution and proliferation kinetics of kupffer cells in normal rat liver. Hepatology. 1986;6: 718–722. </t>
  </si>
  <si>
    <t>Ki</t>
  </si>
  <si>
    <t>patients</t>
  </si>
  <si>
    <t>method</t>
  </si>
  <si>
    <t>Farinati et al., 1996</t>
  </si>
  <si>
    <t xml:space="preserve">56 patients with chronic hepatitis </t>
  </si>
  <si>
    <t>normal</t>
  </si>
  <si>
    <t>no</t>
  </si>
  <si>
    <t xml:space="preserve">Ki67 MIB1 monoclonal antibody </t>
  </si>
  <si>
    <t>specimens</t>
  </si>
  <si>
    <t>archival material</t>
  </si>
  <si>
    <t>subpopulation</t>
  </si>
  <si>
    <t>measurment</t>
  </si>
  <si>
    <t>Alcohol</t>
  </si>
  <si>
    <t xml:space="preserve">Median Number of MIB1-Labeled Hepatocytes in the Periportal Area </t>
  </si>
  <si>
    <t xml:space="preserve">HCV (hepatitis C virus) </t>
  </si>
  <si>
    <t>n</t>
  </si>
  <si>
    <t xml:space="preserve"> MIB1 = antibody for KI67</t>
  </si>
  <si>
    <t>assumptions for quick calculations:</t>
  </si>
  <si>
    <t>cell cycle duration G1,G2,S,M [h]</t>
  </si>
  <si>
    <t>S phase duration [h]</t>
  </si>
  <si>
    <t>expected lifespan [d]</t>
  </si>
  <si>
    <t>Freeman et al., 2003</t>
  </si>
  <si>
    <t>HCV</t>
  </si>
  <si>
    <t>HCV and control</t>
  </si>
  <si>
    <t xml:space="preserve">core liver biopsy </t>
  </si>
  <si>
    <t>Mcm-2 and Ki-67</t>
  </si>
  <si>
    <t>control</t>
  </si>
  <si>
    <t>yes</t>
  </si>
  <si>
    <t xml:space="preserve">Liver biopsies from patients served as control tissue </t>
  </si>
  <si>
    <t xml:space="preserve">proportion of Mcm-2 or Ki-67 staining hepatocytes </t>
  </si>
  <si>
    <t>&lt;0.01%</t>
  </si>
  <si>
    <t>HCV - fibrosis stage 0</t>
  </si>
  <si>
    <t>HCV - fibrosis stage 5</t>
  </si>
  <si>
    <t>SD/ range</t>
  </si>
  <si>
    <t xml:space="preserve">median proportion of Ki-67/Mcm-2 staining hepatocytes </t>
  </si>
  <si>
    <t>3.5% / 6.5%</t>
  </si>
  <si>
    <t>1%-10% / 3%-14%</t>
  </si>
  <si>
    <t>2%-10% /5%-40%</t>
  </si>
  <si>
    <t>4% / 16%</t>
  </si>
  <si>
    <t>Mcm proteins can be detected in the nucleus throughout the cell cycle</t>
  </si>
  <si>
    <t>King et al., 1998</t>
  </si>
  <si>
    <t xml:space="preserve">patients with hepatocellular carcinoma (HCC). </t>
  </si>
  <si>
    <t>surgical resection</t>
  </si>
  <si>
    <t>metastatic colon cancer patients</t>
  </si>
  <si>
    <t>Histologically normal liver tissues from liver resectionas controls</t>
  </si>
  <si>
    <t xml:space="preserve">HCC </t>
  </si>
  <si>
    <t xml:space="preserve"> anti-Ki-67 monoclonal antibody</t>
  </si>
  <si>
    <t xml:space="preserve">mean Ki-67 labelling index </t>
  </si>
  <si>
    <t>Kronenberger et al., 2000</t>
  </si>
  <si>
    <t xml:space="preserve">Liver biopsy </t>
  </si>
  <si>
    <t xml:space="preserve">HCV - some with persistently normal alanine aminotransferase </t>
  </si>
  <si>
    <t xml:space="preserve">high alanine aminotransferase </t>
  </si>
  <si>
    <t>no?</t>
  </si>
  <si>
    <t xml:space="preserve">mean number of anti-Ki 67 positive hepatocytes </t>
  </si>
  <si>
    <t xml:space="preserve">anti-Ki 67 ,TUNEL assay </t>
  </si>
  <si>
    <t xml:space="preserve">mean number of TUNEL-positive hepatocytes </t>
  </si>
  <si>
    <t>apoptosis</t>
  </si>
  <si>
    <t>apoptosis duration? [h]</t>
  </si>
  <si>
    <t>Donato et al., 2001</t>
  </si>
  <si>
    <t xml:space="preserve">cirrhotic patients </t>
  </si>
  <si>
    <t xml:space="preserve"> </t>
  </si>
  <si>
    <t>prospective surveillance for hepatocellular carcinoma</t>
  </si>
  <si>
    <t xml:space="preserve">Immunostaining for proliferating cell nuclear antigen (PCNA) </t>
  </si>
  <si>
    <t xml:space="preserve">patients who developed HCC </t>
  </si>
  <si>
    <t xml:space="preserve">patients who remained cancer-free </t>
  </si>
  <si>
    <t xml:space="preserve">PCNA labeling index </t>
  </si>
  <si>
    <t xml:space="preserve">PCNA accumulates in the nuclei during the S-phase of the cell-cycle, </t>
  </si>
  <si>
    <t>The DNA index (DI) and cell phase fractions were measured by means of digital picture analysis</t>
  </si>
  <si>
    <t>liver biopsy</t>
  </si>
  <si>
    <t>chronic viral/non-viral hepatitis  + control</t>
  </si>
  <si>
    <t>Werling et al., 2001</t>
  </si>
  <si>
    <t xml:space="preserve">from patients having cholecystectomy. </t>
  </si>
  <si>
    <t xml:space="preserve">chronic viral/non-viral hepatitis </t>
  </si>
  <si>
    <t>mean S phase fraction</t>
  </si>
  <si>
    <t>3.6%-6.4%</t>
  </si>
  <si>
    <t>mean S+G2 phase fraction</t>
  </si>
  <si>
    <t>not clear how they determince the cell cycle phase. They divided to G1,S,G2 (no G0,M)</t>
  </si>
  <si>
    <t>Lake-Bakaar et al., 2002</t>
  </si>
  <si>
    <t>PCNA-stained hepatocyte nuclei</t>
  </si>
  <si>
    <t xml:space="preserve">labeling index: area  ccupied by PCNA-stained nuclei, as a fraction of the total area occupied by nuclei </t>
  </si>
  <si>
    <t xml:space="preserve">archived liver biopsy tissue </t>
  </si>
  <si>
    <t>patients with nonalcoholic steatohepatitis NASH</t>
  </si>
  <si>
    <t xml:space="preserve">"little evidence of liver cell replication". Unclear </t>
  </si>
  <si>
    <t>chronic HCV liver disease, cirrhosis, and HCC</t>
  </si>
  <si>
    <t>Sangiovanni et al., 2001</t>
  </si>
  <si>
    <t>patients with a histological diagnosis of cirrhosis and preserved liver function</t>
  </si>
  <si>
    <t>retrospectively evaluated biopsy</t>
  </si>
  <si>
    <t>Flow cytometryic analysis</t>
  </si>
  <si>
    <t>cirrhosis patients that developed HCC</t>
  </si>
  <si>
    <t>cirrhosis patients that didn't develope HCC</t>
  </si>
  <si>
    <t xml:space="preserve">mean S-phase fraction </t>
  </si>
  <si>
    <t>Marshall et al., 2005</t>
  </si>
  <si>
    <t xml:space="preserve">liver regeneration following transplant-related ischemic-reperfusion injury </t>
  </si>
  <si>
    <t>“normal” liver adjacent to colorectal cancer metastasis</t>
  </si>
  <si>
    <t xml:space="preserve">HCV </t>
  </si>
  <si>
    <t>transplant-related ischemic</t>
  </si>
  <si>
    <t>Mcm-2(cell cycle) , cyclin D1 (G1), cyclin A (S), cyclin B1 (G2), PH3 (M)</t>
  </si>
  <si>
    <t xml:space="preserve">Expression of Mcm-2, cyclin D1, cyclin A, cyclin B1, PH3, </t>
  </si>
  <si>
    <t xml:space="preserve">Mcm-2 LI </t>
  </si>
  <si>
    <t>livers from cases who had succumbed to traumatic injuries</t>
  </si>
  <si>
    <t>PCNA-LI</t>
  </si>
  <si>
    <t>benign cirrhotic/non-cirrhotic perineoplastic (BLC,BLNC),HCC and control</t>
  </si>
  <si>
    <t>BLC</t>
  </si>
  <si>
    <t>BLNC</t>
  </si>
  <si>
    <t>speciemens were taken from trauma patients</t>
  </si>
  <si>
    <t>mean PCNA-LI</t>
  </si>
  <si>
    <t>0%-2%</t>
  </si>
  <si>
    <t>0%-3.6%</t>
  </si>
  <si>
    <t>0%-54%</t>
  </si>
  <si>
    <t xml:space="preserve">persistently normal alanine aminotransferase </t>
  </si>
  <si>
    <t>Mun et al., 2006</t>
  </si>
  <si>
    <t>King KL, Hwang JJ, Chau GY, Tsay SH, Chi CW, Lee TG, et al. Ki-67 expression as a prognostic marker in patients with hepatocellular carcinoma. J Gastroenterol Hepatol. 1998;13: 273–279. doi:10.1111/j.1440-1746.1998.01555.x</t>
  </si>
  <si>
    <t>Donato MF, Arosio E, Ninno E Del, Ronchi G, Lampertico P, Morabito A, et al. High rates of hepatocellular carcinoma in cirrhotic patients with high liver cell proliferative activity. Hepatology. 2001;34: 523–528. doi:10.1053/jhep.2001.26820</t>
  </si>
  <si>
    <t xml:space="preserve">Mun KS, Cheah PL, Baharudin NB, Looi LM. Proliferating cell nuclear antigen (PCNA) activity in hepatocellular carcinoma, benign peri-neoplastic and normal liver. Malays J Pathol. 2006;28: 73–77. </t>
  </si>
  <si>
    <t>Sangiovanni A, Colombo E, Radaelli F, Bortoli A, Bovo G, Casiraghi MA, et al. Hepatocyte proliferation and risk of hepatocellular carcinoma in cirrhotic patients. Am J Gastroenterol. 2001;96: 1575–1580. doi:10.1016/S0002-9270(01)02343-7</t>
  </si>
  <si>
    <t>Marshall A, Rushbrook S, Davies SE, Morris LS, Scott IS, Vowler SL, et al. Relation between hepatocyte G1 arrest, impaired hepatic regeneration, and fibrosis in chronic hepatitis C virus infection. Gastroenterology. 2005;128: 33–42. doi:10.1053/j.gastro.2</t>
  </si>
  <si>
    <t>Farinati F, Cardin R, D’Errico A, De Maria N, Naccarato R, Cecchetto A, et al. Hepatocyte proliferative activity in chronic liver damage as assessed by the monoclonal antibody MIB1 Ki67 in archival material: The role of etiology, disease activity, iron, a</t>
  </si>
  <si>
    <t>Freeman A, Hamid S, Morris L, Vowler S, Rushbrook S, Wight DGD, et al. Improved detection of hepatocyte proliferation using antibody to the pre-replication complex: An association with hepatic fibrosis and viral replication in chronic hepatitis C virus in</t>
  </si>
  <si>
    <t>Werling K, Szentirmay Z, Szepesi Á, Schaff Z, Szalay F, Szabó Z, et al. Hepatocyte proliferation and cell cycle phase fractions in chronic viral hepatitis C by image analysis method. Eur J Gastroenterol Hepatol. 2001;13: 489–493. doi:10.1097/00042737-2001</t>
  </si>
  <si>
    <t>Kronenberger B, Rüster B, Lee JH, Sarrazin C, Roth WK, Herrmann G, et al. Hepatocellular proliferation in patients with chronic hepatitis C and persistently normal or abnormal aminotransferase levels. J Hepatol. 2000;33: 640–647. doi:10.1016/S0168-8278(00</t>
  </si>
  <si>
    <t>Lake-Bakaar G, Mazzoccoli V, Ruffini L. Digital image analysis of the distribution of proliferating cell nuclear antigen in hepatitis C virus-related chronic hepatitis, cirrhosis, and hepatocellular carcinoma. Dig Dis Sci. 2002;47: 1644–1648. doi:10.1023/</t>
  </si>
  <si>
    <t>&gt;?</t>
  </si>
  <si>
    <t>MacDonald, 1961</t>
  </si>
  <si>
    <t>Bouwens et al., 1986</t>
  </si>
  <si>
    <t>measurement</t>
  </si>
  <si>
    <t>lifespan in rodent [d]</t>
  </si>
  <si>
    <t>lifespan SD in rodent [d]</t>
  </si>
  <si>
    <t>measured together with endothelial cells</t>
  </si>
  <si>
    <t xml:space="preserve">Metaphase Index using Vinblastine sulfate </t>
  </si>
  <si>
    <t>H3-thymidine  label by inginjection</t>
  </si>
  <si>
    <t>measuremnts of cell cycle in human tissue don't give good estimate. King et al., 1998; Werling et al., 2001; Marshall et al., 2005; Mun et al., 2006</t>
  </si>
  <si>
    <t>Bouwens L, Baekeland M, de Zanger R, Wisse E. Quantitation, tissue distribution and proliferation kinetics of kupffer cells in normal rat liver. Hepatology 1986;6:718–22. doi:10.1002/hep.1840060430.</t>
  </si>
  <si>
    <t>MacDonald RA. “Lifespan” of Liver Cells. Arch Intern Med 1961;107:335. doi:10.1001/archinte.1961.03620030023003</t>
  </si>
  <si>
    <t>King KL, Hwang JJ, Chau GY, Tsay SH, Chi CW, Lee TG, et al. Ki-67 expression as a prognostic marker in patients with hepatocellular carcinoma. J Gastroenterol Hepatol 1998;13:273–9. doi:10.1111/j.1440-1746.1998.01555.x.</t>
  </si>
  <si>
    <t>Werling K, Szentirmay Z, Szepesi Á, Schaff Z, Szalay F, Szabó Z, et al. Hepatocyte proliferation and cell cycle phase fractions in chronic viral hepatitis C by image analysis method. Eur J Gastroenterol Hepatol 2001;13:489–93. doi:10.1097/00042737-200105000-00005.</t>
  </si>
  <si>
    <t>Marshall A, Rushbrook S, Davies SE, Morris LS, Scott IS, Vowler SL, et al. Relation between hepatocyte G1 arrest, impaired hepatic regeneration, and fibrosis in chronic hepatitis C virus infection. Gastroenterology 2005;128:33–42. doi:10.1053/j.gastro.2004.09.076.</t>
  </si>
  <si>
    <t>Mun KS, Cheah PL, Baharudin NB, Looi LM. Proliferating cell nuclear antigen (PCNA) activity in hepatocellular carcinoma, benign peri-neoplastic and normal liver. Malays J Pathol 2006;28:73–7.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</si>
</sst>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E+00"/>
    <numFmt numFmtId="166" formatCode="0E+00"/>
    <numFmt numFmtId="167" formatCode="0.000"/>
    <numFmt numFmtId="168" formatCode="0.0"/>
    <numFmt numFmtId="169" formatCode="0.00000000000000"/>
  </numFmts>
  <fonts count="16">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0"/>
      <name val="Calibri"/>
      <family val="2"/>
      <charset val="177"/>
      <scheme val="minor"/>
    </font>
    <font>
      <sz val="11"/>
      <color theme="1"/>
      <name val="Calibri"/>
      <family val="2"/>
      <charset val="177"/>
    </font>
    <font>
      <sz val="11"/>
      <color theme="1"/>
      <name val="Calibri"/>
      <family val="2"/>
      <scheme val="minor"/>
    </font>
    <font>
      <b/>
      <u/>
      <sz val="11"/>
      <color theme="1"/>
      <name val="Calibri"/>
      <family val="2"/>
      <scheme val="minor"/>
    </font>
    <font>
      <sz val="11"/>
      <name val="Calibri"/>
      <family val="2"/>
      <scheme val="minor"/>
    </font>
    <font>
      <sz val="9"/>
      <color indexed="81"/>
      <name val="Tahoma"/>
      <family val="2"/>
    </font>
    <font>
      <b/>
      <sz val="9"/>
      <color indexed="81"/>
      <name val="Tahoma"/>
      <family val="2"/>
    </font>
    <font>
      <sz val="11"/>
      <color theme="0" tint="-0.34998626667073579"/>
      <name val="Calibri"/>
      <family val="2"/>
      <scheme val="minor"/>
    </font>
    <font>
      <b/>
      <sz val="11"/>
      <color theme="0"/>
      <name val="Calibri"/>
      <family val="2"/>
    </font>
    <font>
      <b/>
      <sz val="11"/>
      <color theme="0"/>
      <name val="Calibri"/>
      <family val="2"/>
      <charset val="177"/>
    </font>
    <font>
      <u/>
      <sz val="11"/>
      <color theme="10"/>
      <name val="Calibri"/>
      <family val="2"/>
      <scheme val="minor"/>
    </font>
    <font>
      <sz val="11"/>
      <color theme="1"/>
      <name val="Calibri"/>
      <family val="2"/>
      <charset val="177"/>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double">
        <color indexed="64"/>
      </bottom>
      <diagonal/>
    </border>
    <border>
      <left/>
      <right/>
      <top style="thin">
        <color theme="4" tint="0.39997558519241921"/>
      </top>
      <bottom style="double">
        <color indexed="64"/>
      </bottom>
      <diagonal/>
    </border>
    <border>
      <left/>
      <right style="thin">
        <color theme="4" tint="0.39997558519241921"/>
      </right>
      <top style="thin">
        <color theme="4" tint="0.39997558519241921"/>
      </top>
      <bottom style="double">
        <color indexed="64"/>
      </bottom>
      <diagonal/>
    </border>
    <border>
      <left/>
      <right/>
      <top style="double">
        <color indexed="64"/>
      </top>
      <bottom/>
      <diagonal/>
    </border>
  </borders>
  <cellStyleXfs count="5">
    <xf numFmtId="0" fontId="0" fillId="0" borderId="0"/>
    <xf numFmtId="9" fontId="1" fillId="0" borderId="0" applyFont="0" applyFill="0" applyBorder="0" applyAlignment="0" applyProtection="0"/>
    <xf numFmtId="0" fontId="14" fillId="0" borderId="0" applyNumberFormat="0" applyFill="0" applyBorder="0" applyAlignment="0" applyProtection="0"/>
    <xf numFmtId="0" fontId="15" fillId="0" borderId="0"/>
    <xf numFmtId="9" fontId="15" fillId="0" borderId="0" applyFont="0" applyFill="0" applyBorder="0" applyAlignment="0" applyProtection="0"/>
  </cellStyleXfs>
  <cellXfs count="116">
    <xf numFmtId="0" fontId="0" fillId="0" borderId="0" xfId="0"/>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Border="1"/>
    <xf numFmtId="0" fontId="0" fillId="2" borderId="1" xfId="0" applyFont="1" applyFill="1" applyBorder="1"/>
    <xf numFmtId="1" fontId="0" fillId="0" borderId="0" xfId="0" applyNumberFormat="1" applyFont="1" applyFill="1" applyBorder="1" applyAlignment="1">
      <alignment horizontal="center" vertical="center"/>
    </xf>
    <xf numFmtId="1" fontId="0" fillId="0" borderId="0" xfId="0" applyNumberFormat="1" applyFont="1" applyFill="1" applyAlignment="1">
      <alignment horizontal="center" vertical="center"/>
    </xf>
    <xf numFmtId="0" fontId="0" fillId="0" borderId="1" xfId="0" applyFont="1" applyBorder="1"/>
    <xf numFmtId="1" fontId="5" fillId="0" borderId="0" xfId="0" applyNumberFormat="1" applyFont="1" applyFill="1" applyBorder="1" applyAlignment="1">
      <alignment horizontal="center" vertical="center"/>
    </xf>
    <xf numFmtId="0" fontId="0" fillId="2" borderId="2" xfId="0" applyFont="1" applyFill="1" applyBorder="1"/>
    <xf numFmtId="0" fontId="0" fillId="0" borderId="2" xfId="0" applyFont="1" applyBorder="1"/>
    <xf numFmtId="9" fontId="0" fillId="0" borderId="0" xfId="1" applyFont="1" applyFill="1" applyBorder="1" applyAlignment="1">
      <alignment horizontal="center" vertical="center"/>
    </xf>
    <xf numFmtId="164" fontId="0" fillId="0" borderId="0"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1" fontId="6" fillId="0" borderId="0" xfId="0" applyNumberFormat="1" applyFont="1" applyFill="1" applyAlignment="1">
      <alignment horizontal="center" vertical="center"/>
    </xf>
    <xf numFmtId="1" fontId="0" fillId="0" borderId="1" xfId="1" applyNumberFormat="1" applyFont="1" applyBorder="1" applyAlignment="1">
      <alignment horizontal="center" vertical="center"/>
    </xf>
    <xf numFmtId="164" fontId="6" fillId="0" borderId="0" xfId="1" applyNumberFormat="1" applyFont="1" applyFill="1" applyBorder="1" applyAlignment="1">
      <alignment horizontal="center" vertical="center"/>
    </xf>
    <xf numFmtId="9" fontId="6" fillId="0" borderId="0" xfId="1" applyFont="1" applyFill="1" applyAlignment="1">
      <alignment horizontal="center" vertical="center"/>
    </xf>
    <xf numFmtId="0" fontId="3" fillId="0" borderId="0" xfId="0" applyFont="1"/>
    <xf numFmtId="0" fontId="7" fillId="0" borderId="0" xfId="0" applyFont="1"/>
    <xf numFmtId="166" fontId="0" fillId="0" borderId="0" xfId="0" applyNumberFormat="1"/>
    <xf numFmtId="9" fontId="0" fillId="0" borderId="0" xfId="1" applyFont="1"/>
    <xf numFmtId="0" fontId="2" fillId="0" borderId="0" xfId="0" applyFont="1" applyFill="1" applyBorder="1" applyAlignment="1">
      <alignment horizontal="center" vertical="center" wrapText="1"/>
    </xf>
    <xf numFmtId="0" fontId="0" fillId="0" borderId="0" xfId="0" applyFont="1" applyFill="1"/>
    <xf numFmtId="0" fontId="0" fillId="0" borderId="3" xfId="0" applyFont="1" applyBorder="1"/>
    <xf numFmtId="9" fontId="0" fillId="0" borderId="0" xfId="1" applyFont="1" applyFill="1" applyAlignment="1">
      <alignment horizontal="center" vertical="center"/>
    </xf>
    <xf numFmtId="0" fontId="0" fillId="0" borderId="0" xfId="0" applyNumberFormat="1" applyFont="1" applyFill="1" applyAlignment="1">
      <alignment horizontal="center" vertical="center"/>
    </xf>
    <xf numFmtId="0" fontId="8" fillId="0" borderId="0" xfId="0" applyNumberFormat="1" applyFont="1" applyFill="1" applyAlignment="1">
      <alignment horizontal="center" vertical="center"/>
    </xf>
    <xf numFmtId="9" fontId="0" fillId="0" borderId="0" xfId="0" applyNumberFormat="1"/>
    <xf numFmtId="164" fontId="0" fillId="0" borderId="0" xfId="1" applyNumberFormat="1" applyFont="1"/>
    <xf numFmtId="0" fontId="0" fillId="0" borderId="0" xfId="0" applyAlignment="1">
      <alignment horizontal="left" vertical="center"/>
    </xf>
    <xf numFmtId="164" fontId="0" fillId="0" borderId="0" xfId="0" applyNumberFormat="1"/>
    <xf numFmtId="10" fontId="0" fillId="0" borderId="0" xfId="0" applyNumberFormat="1"/>
    <xf numFmtId="0" fontId="0" fillId="0" borderId="0" xfId="0" applyNumberFormat="1"/>
    <xf numFmtId="0" fontId="0" fillId="2" borderId="3" xfId="0" applyFont="1" applyFill="1" applyBorder="1"/>
    <xf numFmtId="0" fontId="0" fillId="2" borderId="1" xfId="0" applyNumberFormat="1" applyFont="1" applyFill="1" applyBorder="1"/>
    <xf numFmtId="0" fontId="8" fillId="0" borderId="0" xfId="0" applyFont="1" applyFill="1" applyAlignment="1">
      <alignment horizontal="left" vertical="center"/>
    </xf>
    <xf numFmtId="0" fontId="8" fillId="2" borderId="2" xfId="0" applyFont="1" applyFill="1" applyBorder="1" applyAlignment="1">
      <alignment horizontal="left" vertical="center"/>
    </xf>
    <xf numFmtId="165" fontId="8" fillId="0" borderId="0" xfId="0" applyNumberFormat="1" applyFont="1" applyFill="1" applyAlignment="1">
      <alignment horizontal="center" vertical="center"/>
    </xf>
    <xf numFmtId="165" fontId="0" fillId="0" borderId="0" xfId="1" applyNumberFormat="1" applyFont="1"/>
    <xf numFmtId="1" fontId="0" fillId="0" borderId="0" xfId="0" applyNumberFormat="1" applyFont="1" applyFill="1" applyBorder="1" applyAlignment="1">
      <alignment horizontal="left" vertical="center"/>
    </xf>
    <xf numFmtId="0" fontId="0" fillId="0" borderId="0" xfId="0" applyFont="1" applyFill="1" applyAlignment="1">
      <alignment horizontal="center" vertical="center"/>
    </xf>
    <xf numFmtId="9" fontId="0" fillId="0" borderId="0" xfId="0" applyNumberFormat="1" applyFont="1" applyFill="1" applyAlignment="1">
      <alignment horizontal="center" vertical="center"/>
    </xf>
    <xf numFmtId="168" fontId="0" fillId="0" borderId="0" xfId="0" applyNumberFormat="1"/>
    <xf numFmtId="164" fontId="0" fillId="0" borderId="0" xfId="0" applyNumberFormat="1" applyFont="1" applyFill="1" applyAlignment="1">
      <alignment horizontal="center" vertical="center"/>
    </xf>
    <xf numFmtId="11" fontId="0" fillId="0" borderId="0" xfId="0" applyNumberFormat="1" applyFont="1" applyFill="1" applyAlignment="1">
      <alignment horizontal="center" vertical="center"/>
    </xf>
    <xf numFmtId="168" fontId="0" fillId="0" borderId="1" xfId="0" applyNumberFormat="1" applyFont="1" applyBorder="1"/>
    <xf numFmtId="165" fontId="0" fillId="0" borderId="0" xfId="0" applyNumberFormat="1"/>
    <xf numFmtId="165" fontId="0" fillId="2" borderId="1" xfId="0" applyNumberFormat="1" applyFont="1" applyFill="1" applyBorder="1"/>
    <xf numFmtId="165" fontId="0" fillId="0" borderId="1" xfId="0" applyNumberFormat="1" applyFont="1" applyBorder="1"/>
    <xf numFmtId="168" fontId="0" fillId="2" borderId="1" xfId="0" applyNumberFormat="1" applyFont="1" applyFill="1" applyBorder="1"/>
    <xf numFmtId="1" fontId="0" fillId="0" borderId="0" xfId="0" applyNumberFormat="1"/>
    <xf numFmtId="1" fontId="0" fillId="2" borderId="1" xfId="0" applyNumberFormat="1" applyFont="1" applyFill="1" applyBorder="1"/>
    <xf numFmtId="1" fontId="0" fillId="2" borderId="1" xfId="1" applyNumberFormat="1" applyFont="1" applyFill="1" applyBorder="1"/>
    <xf numFmtId="11" fontId="0" fillId="0" borderId="0" xfId="0" applyNumberFormat="1"/>
    <xf numFmtId="169" fontId="0" fillId="0" borderId="0" xfId="0" applyNumberFormat="1"/>
    <xf numFmtId="165" fontId="0" fillId="0" borderId="0" xfId="1" applyNumberFormat="1" applyFont="1" applyFill="1" applyAlignment="1">
      <alignment horizontal="center" vertical="center"/>
    </xf>
    <xf numFmtId="166" fontId="0" fillId="0" borderId="0" xfId="1" applyNumberFormat="1" applyFont="1" applyFill="1" applyAlignment="1">
      <alignment horizontal="center" vertical="center"/>
    </xf>
    <xf numFmtId="0" fontId="0" fillId="2" borderId="1" xfId="1" applyNumberFormat="1" applyFont="1" applyFill="1" applyBorder="1" applyAlignment="1">
      <alignment horizontal="center" vertical="center"/>
    </xf>
    <xf numFmtId="0" fontId="0" fillId="0" borderId="1" xfId="1" applyNumberFormat="1" applyFont="1" applyBorder="1" applyAlignment="1">
      <alignment horizontal="center" vertical="center"/>
    </xf>
    <xf numFmtId="0" fontId="0" fillId="0" borderId="1" xfId="0" applyNumberFormat="1" applyFont="1" applyBorder="1"/>
    <xf numFmtId="0" fontId="4" fillId="3" borderId="4" xfId="0" applyFont="1" applyFill="1" applyBorder="1" applyAlignment="1">
      <alignment horizontal="center" vertical="center" wrapText="1"/>
    </xf>
    <xf numFmtId="0" fontId="0" fillId="0" borderId="5" xfId="0" applyFont="1" applyBorder="1"/>
    <xf numFmtId="1" fontId="0" fillId="2" borderId="1" xfId="1" applyNumberFormat="1" applyFont="1" applyFill="1" applyBorder="1" applyAlignment="1">
      <alignment horizontal="center" vertical="center"/>
    </xf>
    <xf numFmtId="0" fontId="2" fillId="3" borderId="4" xfId="0" applyFont="1" applyFill="1" applyBorder="1" applyAlignment="1">
      <alignment horizontal="center" vertical="center" wrapText="1"/>
    </xf>
    <xf numFmtId="11" fontId="0" fillId="2" borderId="1" xfId="0" applyNumberFormat="1" applyFont="1" applyFill="1" applyBorder="1"/>
    <xf numFmtId="1" fontId="11" fillId="0" borderId="0" xfId="0" applyNumberFormat="1" applyFont="1"/>
    <xf numFmtId="0" fontId="0" fillId="0" borderId="3" xfId="0" applyNumberFormat="1" applyFont="1" applyBorder="1"/>
    <xf numFmtId="166" fontId="11" fillId="0" borderId="0" xfId="0" applyNumberFormat="1" applyFont="1"/>
    <xf numFmtId="0" fontId="0" fillId="0" borderId="0" xfId="0" applyAlignment="1">
      <alignment wrapText="1"/>
    </xf>
    <xf numFmtId="11" fontId="0" fillId="2" borderId="0" xfId="0" applyNumberFormat="1" applyFont="1" applyFill="1" applyBorder="1"/>
    <xf numFmtId="9" fontId="11" fillId="0" borderId="0" xfId="1" applyFont="1"/>
    <xf numFmtId="11" fontId="11" fillId="0" borderId="0" xfId="0" applyNumberFormat="1" applyFont="1"/>
    <xf numFmtId="165" fontId="0" fillId="2" borderId="0" xfId="0" applyNumberFormat="1" applyFont="1" applyFill="1" applyBorder="1"/>
    <xf numFmtId="167" fontId="0" fillId="0" borderId="1" xfId="1" applyNumberFormat="1" applyFont="1" applyBorder="1"/>
    <xf numFmtId="0" fontId="0" fillId="0" borderId="0" xfId="0" applyBorder="1"/>
    <xf numFmtId="168" fontId="0" fillId="0" borderId="0" xfId="0" applyNumberFormat="1" applyBorder="1"/>
    <xf numFmtId="9" fontId="0" fillId="0" borderId="5" xfId="1" applyFont="1" applyFill="1" applyBorder="1"/>
    <xf numFmtId="0" fontId="0" fillId="0" borderId="5" xfId="0" applyFont="1" applyFill="1" applyBorder="1"/>
    <xf numFmtId="168" fontId="0" fillId="0" borderId="0" xfId="0" applyNumberFormat="1" applyFill="1"/>
    <xf numFmtId="9" fontId="0" fillId="0" borderId="0" xfId="1" applyFont="1" applyFill="1" applyBorder="1"/>
    <xf numFmtId="0" fontId="0" fillId="0" borderId="0" xfId="0" applyFill="1"/>
    <xf numFmtId="0" fontId="0" fillId="0" borderId="1" xfId="0" applyFont="1" applyFill="1" applyBorder="1"/>
    <xf numFmtId="165" fontId="0" fillId="0" borderId="0" xfId="1" applyNumberFormat="1" applyFont="1" applyFill="1" applyBorder="1" applyAlignment="1">
      <alignment horizontal="center" vertical="center"/>
    </xf>
    <xf numFmtId="0" fontId="0" fillId="0" borderId="0" xfId="0" applyAlignment="1">
      <alignment horizontal="left" vertical="center" indent="4"/>
    </xf>
    <xf numFmtId="0" fontId="7" fillId="0" borderId="0" xfId="0" applyFont="1" applyAlignment="1">
      <alignment wrapText="1"/>
    </xf>
    <xf numFmtId="10" fontId="0" fillId="0" borderId="0" xfId="1" applyNumberFormat="1" applyFont="1" applyBorder="1"/>
    <xf numFmtId="1" fontId="0" fillId="0" borderId="0" xfId="0" applyNumberFormat="1" applyBorder="1"/>
    <xf numFmtId="0" fontId="0" fillId="0" borderId="7" xfId="0" applyBorder="1"/>
    <xf numFmtId="10" fontId="0" fillId="0" borderId="7" xfId="1" applyNumberFormat="1" applyFont="1" applyBorder="1"/>
    <xf numFmtId="1" fontId="0" fillId="0" borderId="7" xfId="0" applyNumberFormat="1" applyBorder="1"/>
    <xf numFmtId="0" fontId="0" fillId="0" borderId="8" xfId="0" applyFont="1" applyBorder="1"/>
    <xf numFmtId="10" fontId="0" fillId="0" borderId="8" xfId="1" applyNumberFormat="1" applyFont="1" applyBorder="1"/>
    <xf numFmtId="1" fontId="0" fillId="0" borderId="9" xfId="0" applyNumberFormat="1" applyFont="1" applyBorder="1"/>
    <xf numFmtId="0" fontId="0" fillId="0" borderId="10" xfId="0" applyBorder="1"/>
    <xf numFmtId="9" fontId="0" fillId="0" borderId="7" xfId="1" applyFont="1" applyBorder="1"/>
    <xf numFmtId="1" fontId="3" fillId="0" borderId="7" xfId="0" applyNumberFormat="1" applyFont="1" applyBorder="1"/>
    <xf numFmtId="0" fontId="3" fillId="0" borderId="7" xfId="0" applyFont="1" applyBorder="1" applyAlignment="1">
      <alignment horizontal="right"/>
    </xf>
    <xf numFmtId="10" fontId="0" fillId="0" borderId="7" xfId="0" applyNumberFormat="1" applyBorder="1"/>
    <xf numFmtId="9" fontId="0" fillId="0" borderId="7" xfId="0" applyNumberFormat="1" applyBorder="1"/>
    <xf numFmtId="168" fontId="0" fillId="0" borderId="7" xfId="0" applyNumberFormat="1" applyBorder="1"/>
    <xf numFmtId="10" fontId="0" fillId="0" borderId="0" xfId="0" applyNumberFormat="1" applyBorder="1"/>
    <xf numFmtId="9" fontId="0" fillId="0" borderId="0" xfId="0" applyNumberFormat="1" applyBorder="1"/>
    <xf numFmtId="0" fontId="0" fillId="0" borderId="0" xfId="0" applyNumberFormat="1" applyBorder="1"/>
    <xf numFmtId="0" fontId="0" fillId="0" borderId="7" xfId="0" applyNumberFormat="1" applyBorder="1"/>
    <xf numFmtId="164" fontId="0" fillId="0" borderId="5" xfId="1" applyNumberFormat="1" applyFont="1" applyBorder="1"/>
    <xf numFmtId="1" fontId="0" fillId="0" borderId="6" xfId="0" applyNumberFormat="1" applyFont="1" applyBorder="1"/>
    <xf numFmtId="0" fontId="14" fillId="0" borderId="0" xfId="2" applyAlignment="1">
      <alignment horizontal="left" vertical="center"/>
    </xf>
    <xf numFmtId="0" fontId="14" fillId="0" borderId="0" xfId="2"/>
    <xf numFmtId="0" fontId="0" fillId="0" borderId="7" xfId="0" applyNumberFormat="1" applyBorder="1" applyAlignment="1">
      <alignment horizontal="right"/>
    </xf>
    <xf numFmtId="1" fontId="0" fillId="0" borderId="1" xfId="0" applyNumberFormat="1" applyFont="1" applyFill="1" applyBorder="1" applyAlignment="1">
      <alignment horizontal="center" vertical="center"/>
    </xf>
    <xf numFmtId="9" fontId="0" fillId="0" borderId="1" xfId="1" applyNumberFormat="1" applyFont="1" applyFill="1" applyBorder="1" applyAlignment="1">
      <alignment horizontal="center" vertical="center"/>
    </xf>
    <xf numFmtId="9" fontId="0" fillId="0" borderId="1" xfId="1" applyNumberFormat="1" applyFont="1" applyFill="1" applyBorder="1" applyAlignment="1">
      <alignment horizontal="left" vertical="center"/>
    </xf>
    <xf numFmtId="0" fontId="0" fillId="0" borderId="0" xfId="0" applyFill="1" applyAlignment="1">
      <alignment horizontal="center" vertical="center"/>
    </xf>
    <xf numFmtId="0" fontId="0" fillId="0" borderId="0" xfId="0" applyFont="1"/>
  </cellXfs>
  <cellStyles count="5">
    <cellStyle name="Hyperlink" xfId="2" builtinId="8"/>
    <cellStyle name="Normal" xfId="0" builtinId="0"/>
    <cellStyle name="Normal 2" xfId="3"/>
    <cellStyle name="Percent" xfId="1" builtinId="5"/>
    <cellStyle name="Percent 2" xfId="4"/>
  </cellStyles>
  <dxfs count="80">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thin">
          <color theme="4" tint="0.39997558519241921"/>
        </bottom>
      </border>
    </dxf>
    <dxf>
      <border outline="0">
        <left style="thin">
          <color theme="4" tint="0.39997558519241921"/>
        </left>
        <top style="thin">
          <color theme="4" tint="0.39997558519241921"/>
        </top>
        <bottom style="thin">
          <color theme="4" tint="0.39997558519241921"/>
        </bottom>
      </border>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numFmt numFmtId="0" formatCode="General"/>
    </dxf>
    <dxf>
      <numFmt numFmtId="0" formatCode="General"/>
    </dxf>
    <dxf>
      <numFmt numFmtId="0" formatCode="General"/>
    </dxf>
    <dxf>
      <numFmt numFmtId="164" formatCode="0.0%"/>
    </dxf>
    <dxf>
      <numFmt numFmtId="164" formatCode="0.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numFmt numFmtId="168" formatCode="0.0"/>
    </dxf>
    <dxf>
      <numFmt numFmtId="1" formatCode="0"/>
    </dxf>
    <dxf>
      <numFmt numFmtId="1" formatCode="0"/>
    </dxf>
    <dxf>
      <numFmt numFmtId="0" formatCode="General"/>
    </dxf>
    <dxf>
      <numFmt numFmtId="1" formatCode="0"/>
    </dxf>
    <dxf>
      <fill>
        <patternFill patternType="none">
          <bgColor auto="1"/>
        </patternFill>
      </fill>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5" formatCode="0.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5" formatCode="0.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numFmt numFmtId="165" formatCode="0.0E+00"/>
    </dxf>
    <dxf>
      <numFmt numFmtId="166" formatCode="0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5" formatCode="0.0E+0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68" formatCode="0.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8" name="Table8" displayName="Table8" ref="A1:J8" totalsRowShown="0" headerRowDxfId="79">
  <autoFilter ref="A1:J8"/>
  <tableColumns count="10">
    <tableColumn id="1" name="source"/>
    <tableColumn id="2" name="volume fraction of hepatocytes"/>
    <tableColumn id="8" name="SEM volume fraction of hepatocytes"/>
    <tableColumn id="3" name="hepatocytes volume [fl]"/>
    <tableColumn id="9" name="SEM hepatocytes volume [fl]" dataDxfId="78"/>
    <tableColumn id="4" name="hepatocytes per ml" dataDxfId="77"/>
    <tableColumn id="10" name="SEM hepatocytes per ml"/>
    <tableColumn id="6" name="hepatocytes per g" dataDxfId="76"/>
    <tableColumn id="12" name="SEM hepatocytes per g" dataDxfId="75"/>
    <tableColumn id="11" name="comments" dataDxfId="74"/>
  </tableColumns>
  <tableStyleInfo name="TableStyleMedium2" showFirstColumn="0" showLastColumn="0" showRowStripes="1" showColumnStripes="0"/>
</table>
</file>

<file path=xl/tables/table10.xml><?xml version="1.0" encoding="utf-8"?>
<table xmlns="http://schemas.openxmlformats.org/spreadsheetml/2006/main" id="10" name="Table10" displayName="Table10" ref="A1:L29" totalsRowShown="0">
  <autoFilter ref="A1:L29"/>
  <tableColumns count="12">
    <tableColumn id="1" name="source"/>
    <tableColumn id="2" name="patients"/>
    <tableColumn id="6" name="specimens"/>
    <tableColumn id="3" name="method"/>
    <tableColumn id="4" name="subpopulation"/>
    <tableColumn id="14" name="normal"/>
    <tableColumn id="10" name="n"/>
    <tableColumn id="7" name="measurment"/>
    <tableColumn id="8" name="value" dataDxfId="12"/>
    <tableColumn id="9" name="SD/ range" dataDxfId="11"/>
    <tableColumn id="11" name="comment"/>
    <tableColumn id="12" name="expected lifespan [d]" dataDxfId="10">
      <calculatedColumnFormula>(Table11[cell cycle duration G1,G2,S,M '[h']]/24)/Table10[[#This Row],[value]]</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id="11" name="Table11" displayName="Table11" ref="A33:C34" totalsRowShown="0">
  <autoFilter ref="A33:C34"/>
  <tableColumns count="3">
    <tableColumn id="1" name="S phase duration [h]"/>
    <tableColumn id="2" name="cell cycle duration G1,G2,S,M [h]"/>
    <tableColumn id="3" name="apoptosis duration? [h]"/>
  </tableColumns>
  <tableStyleInfo name="TableStyleMedium1" showFirstColumn="0" showLastColumn="0" showRowStripes="1" showColumnStripes="0"/>
</table>
</file>

<file path=xl/tables/table2.xml><?xml version="1.0" encoding="utf-8"?>
<table xmlns="http://schemas.openxmlformats.org/spreadsheetml/2006/main" id="5" name="Table2586" displayName="Table2586" ref="A1:H7" totalsRowShown="0">
  <autoFilter ref="A1:H7"/>
  <tableColumns count="8">
    <tableColumn id="1" name="parameter"/>
    <tableColumn id="2" name="value" dataDxfId="73"/>
    <tableColumn id="6" name="units" dataDxfId="72"/>
    <tableColumn id="3" name="SD" dataDxfId="71"/>
    <tableColumn id="7" name="N" dataDxfId="70"/>
    <tableColumn id="8" name="SEM" dataDxfId="69"/>
    <tableColumn id="5" name="comment" dataDxfId="68"/>
    <tableColumn id="4" name="source" dataDxfId="67"/>
  </tableColumns>
  <tableStyleInfo name="TableStyleMedium2" showFirstColumn="0" showLastColumn="0" showRowStripes="1" showColumnStripes="0"/>
</table>
</file>

<file path=xl/tables/table3.xml><?xml version="1.0" encoding="utf-8"?>
<table xmlns="http://schemas.openxmlformats.org/spreadsheetml/2006/main" id="3" name="Table258" displayName="Table258" ref="A1:H4" totalsRowShown="0">
  <autoFilter ref="A1:H4"/>
  <tableColumns count="8">
    <tableColumn id="1" name="parameter"/>
    <tableColumn id="2" name="value" dataDxfId="66">
      <calculatedColumnFormula>1.2*10^8</calculatedColumnFormula>
    </tableColumn>
    <tableColumn id="6" name="units"/>
    <tableColumn id="3" name="SD" dataDxfId="65"/>
    <tableColumn id="7" name="N"/>
    <tableColumn id="8" name="SEM" dataDxfId="64">
      <calculatedColumnFormula>0.1*10^8</calculatedColumnFormula>
    </tableColumn>
    <tableColumn id="5" name="comment"/>
    <tableColumn id="4" name="source"/>
  </tableColumns>
  <tableStyleInfo name="TableStyleMedium2" showFirstColumn="0" showLastColumn="0" showRowStripes="1" showColumnStripes="0"/>
</table>
</file>

<file path=xl/tables/table4.xml><?xml version="1.0" encoding="utf-8"?>
<table xmlns="http://schemas.openxmlformats.org/spreadsheetml/2006/main" id="1" name="Table24" displayName="Table24" ref="A1:Q5" totalsRowShown="0" headerRowDxfId="63" dataDxfId="62">
  <autoFilter ref="A1:Q5"/>
  <tableColumns count="17">
    <tableColumn id="1" name="cells" dataDxfId="61"/>
    <tableColumn id="11" name="cell type" dataDxfId="60"/>
    <tableColumn id="20" name="% of human parenchymal vol [6]" dataDxfId="59"/>
    <tableColumn id="19" name="ratio cells/heparocytes [6]" dataDxfId="58"/>
    <tableColumn id="21" name="SEM ratio cells/heparocytes [6]" dataDxfId="57"/>
    <tableColumn id="23" name="% of human parenchymal vol [7]" dataDxfId="56"/>
    <tableColumn id="22" name="cells per ml [7]" dataDxfId="55"/>
    <tableColumn id="3" name="% of rat parenchymal vol [1]" dataDxfId="54"/>
    <tableColumn id="9" name="SEM % of parenchymal vol [1]" dataDxfId="53"/>
    <tableColumn id="4" name="% of mice  non-parenchymal cells [2]" dataDxfId="52" dataCellStyle="Percent"/>
    <tableColumn id="7" name="% of rat  non-parenchymal cells [3]" dataDxfId="51" dataCellStyle="Percent"/>
    <tableColumn id="10" name="% SD of rat  non-parenchymal cells [3]" dataDxfId="50" dataCellStyle="Percent"/>
    <tableColumn id="12" name="cells per g liver [3]2" dataDxfId="49" dataCellStyle="Percent"/>
    <tableColumn id="13" name="SD cells per g liver [3]" dataDxfId="48" dataCellStyle="Percent"/>
    <tableColumn id="16" name="% of rat  non-parenchymal cells [4]" dataDxfId="47" dataCellStyle="Percent"/>
    <tableColumn id="17" name="% of mice hepatic cells [5]" dataDxfId="46" dataCellStyle="Percent"/>
    <tableColumn id="18" name="SEM % of mice hepatic cells [5]" dataDxfId="45" dataCellStyle="Percent"/>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1:F4" totalsRowShown="0" headerRowDxfId="9" dataDxfId="8" headerRowBorderDxfId="6" tableBorderDxfId="7">
  <autoFilter ref="A1:F4"/>
  <tableColumns count="6">
    <tableColumn id="1" name="cells" dataDxfId="5"/>
    <tableColumn id="2" name="lifespan in rodent [d]" dataDxfId="4"/>
    <tableColumn id="3" name="lifespan SD in rodent [d]" dataDxfId="3">
      <calculatedColumnFormula>ROUND(Table2[[#This Row],[lifespan in rodent '[d']]]*(0.037/0.059),-1)</calculatedColumnFormula>
    </tableColumn>
    <tableColumn id="4" name="measurement" dataDxfId="2"/>
    <tableColumn id="5" name="source" dataDxfId="1"/>
    <tableColumn id="7" name="comment" dataDxfId="0"/>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C3" totalsRowShown="0" headerRowDxfId="44" headerRowBorderDxfId="43" tableBorderDxfId="42" totalsRowBorderDxfId="41">
  <autoFilter ref="A1:C3"/>
  <tableColumns count="3">
    <tableColumn id="1" name="Kupffer cells" dataDxfId="40"/>
    <tableColumn id="3" name="diameter [µm] " dataDxfId="39"/>
    <tableColumn id="5" name="area [µm^2]" dataDxfId="38"/>
  </tableColumns>
  <tableStyleInfo name="TableStyleMedium2" showFirstColumn="0" showLastColumn="0" showRowStripes="1" showColumnStripes="0"/>
</table>
</file>

<file path=xl/tables/table7.xml><?xml version="1.0" encoding="utf-8"?>
<table xmlns="http://schemas.openxmlformats.org/spreadsheetml/2006/main" id="7" name="hep_vol" displayName="hep_vol" ref="A1:B8" totalsRowShown="0" dataDxfId="37">
  <autoFilter ref="A1:B8"/>
  <tableColumns count="2">
    <tableColumn id="1" name="heparocyte volume" dataDxfId="36"/>
    <tableColumn id="2" name="log10 vol" dataDxfId="35">
      <calculatedColumnFormula>LOG10(hep_vol[[#This Row],[heparocyte volume]])</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245" displayName="Table245" ref="A1:I5" totalsRowCount="1" headerRowDxfId="34" dataDxfId="33">
  <autoFilter ref="A1:I4"/>
  <tableColumns count="9">
    <tableColumn id="1" name="cells" totalsRowLabel="Total" dataDxfId="32" totalsRowDxfId="31"/>
    <tableColumn id="11" name="types" dataDxfId="30" totalsRowDxfId="29"/>
    <tableColumn id="8" name="surgical biopsy distribution of cells" dataDxfId="28" totalsRowDxfId="27"/>
    <tableColumn id="4" name="SEM surgical biopsy distribution" dataDxfId="26" totalsRowDxfId="25" dataCellStyle="Percent"/>
    <tableColumn id="7" name="puncture  biopsy nuclei distribution " dataDxfId="24" totalsRowDxfId="23"/>
    <tableColumn id="12" name="binucleated cells %" dataDxfId="22" totalsRowDxfId="21"/>
    <tableColumn id="13" name="puncture  biopsy cell distribution" dataDxfId="20" totalsRowDxfId="19">
      <calculatedColumnFormula>(Table245[[#This Row],[puncture  biopsy nuclei distribution ]]/(1+Table245[[#This Row],[binucleated cells %]]))/((Table245[[#This Row],[puncture  biopsy nuclei distribution ]]/(1+Table245[[#This Row],[binucleated cells %]]))+E3)</calculatedColumnFormula>
    </tableColumn>
    <tableColumn id="9" name="average number of cells per mg" totalsRowLabel="202000" dataDxfId="18" totalsRowDxfId="17"/>
    <tableColumn id="10" name="SEM number of cells per mg" totalsRowFunction="custom" dataDxfId="16" totalsRowDxfId="15">
      <calculatedColumnFormula>ROUND((13000*Table245[[#This Row],[average number of cells per mg]])/223000,-3)</calculatedColumnFormula>
      <totalsRowFormula>13000*Table245[[#Totals],[average number of cells per mg]]/223000</totalsRowFormula>
    </tableColumn>
  </tableColumns>
  <tableStyleInfo name="TableStyleMedium2" showFirstColumn="0" showLastColumn="0" showRowStripes="1" showColumnStripes="0"/>
</table>
</file>

<file path=xl/tables/table9.xml><?xml version="1.0" encoding="utf-8"?>
<table xmlns="http://schemas.openxmlformats.org/spreadsheetml/2006/main" id="9" name="Table9" displayName="Table9" ref="A1:B10" totalsRowCount="1">
  <autoFilter ref="A1:B9"/>
  <tableColumns count="2">
    <tableColumn id="1" name="#" totalsRowLabel="Total"/>
    <tableColumn id="2" name="Ki" totalsRowFunction="average" dataDxfId="14" totalsRowDxfId="13"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ncbi.nlm.nih.gov/pubmed/11059870" TargetMode="External"/><Relationship Id="rId13" Type="http://schemas.openxmlformats.org/officeDocument/2006/relationships/table" Target="../tables/table11.xml"/><Relationship Id="rId3" Type="http://schemas.openxmlformats.org/officeDocument/2006/relationships/hyperlink" Target="https://www.sciencedirect.com/science/article/pii/S0002927001023437" TargetMode="External"/><Relationship Id="rId7" Type="http://schemas.openxmlformats.org/officeDocument/2006/relationships/hyperlink" Target="https://journals.lww.com/eurojgh/Fulltext/2001/05000/Hepatocyte_proliferation_and_cell_cycle_phase.5.aspx" TargetMode="External"/><Relationship Id="rId12" Type="http://schemas.openxmlformats.org/officeDocument/2006/relationships/table" Target="../tables/table10.xml"/><Relationship Id="rId2" Type="http://schemas.openxmlformats.org/officeDocument/2006/relationships/hyperlink" Target="https://reader.elsevier.com/reader/sd/pii/S0016508504017457?token=2EE79B3EAA4CDFCDB154F026E09FB604E1AA75A845F073EF6CE75951B35D34EFADEC5A93D7B0AA4FD111C1818329E1F1" TargetMode="External"/><Relationship Id="rId1" Type="http://schemas.openxmlformats.org/officeDocument/2006/relationships/hyperlink" Target="https://reader.elsevier.com/reader/sd/pii/S0270913901836867?token=C76AFA50D2C0D89B011E7BF13216C407106A80F78EE0404D4180D8025B85A7D31F13B3534D6AA181A9F57FEFC4285146" TargetMode="External"/><Relationship Id="rId6" Type="http://schemas.openxmlformats.org/officeDocument/2006/relationships/hyperlink" Target="https://www.ncbi.nlm.nih.gov/pubmed/9570240" TargetMode="External"/><Relationship Id="rId11" Type="http://schemas.openxmlformats.org/officeDocument/2006/relationships/vmlDrawing" Target="../drawings/vmlDrawing2.vml"/><Relationship Id="rId5" Type="http://schemas.openxmlformats.org/officeDocument/2006/relationships/hyperlink" Target="https://onlinelibrary.wiley.com/doi/full/10.1046/j.1365-2893.2003.00454.x" TargetMode="External"/><Relationship Id="rId10" Type="http://schemas.openxmlformats.org/officeDocument/2006/relationships/hyperlink" Target="https://www.ncbi.nlm.nih.gov/pubmed/12141830" TargetMode="External"/><Relationship Id="rId4" Type="http://schemas.openxmlformats.org/officeDocument/2006/relationships/hyperlink" Target="https://www.ncbi.nlm.nih.gov/pubmed/8675166" TargetMode="External"/><Relationship Id="rId9" Type="http://schemas.openxmlformats.org/officeDocument/2006/relationships/hyperlink" Target="https://www.ncbi.nlm.nih.gov/pubmed/18376794" TargetMode="External"/><Relationship Id="rId1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C1" zoomScale="115" zoomScaleNormal="115" workbookViewId="0">
      <selection activeCell="F19" sqref="F19"/>
    </sheetView>
  </sheetViews>
  <sheetFormatPr defaultRowHeight="15"/>
  <cols>
    <col min="1" max="1" width="21.42578125" bestFit="1" customWidth="1"/>
    <col min="2" max="2" width="20.140625" customWidth="1"/>
    <col min="3" max="3" width="22.28515625" customWidth="1"/>
    <col min="4" max="4" width="13.85546875" customWidth="1"/>
    <col min="5" max="5" width="18.85546875" customWidth="1"/>
    <col min="6" max="6" width="12" customWidth="1"/>
    <col min="7" max="7" width="19" bestFit="1" customWidth="1"/>
    <col min="8" max="8" width="13" customWidth="1"/>
    <col min="9" max="9" width="19" bestFit="1" customWidth="1"/>
    <col min="10" max="10" width="11" customWidth="1"/>
  </cols>
  <sheetData>
    <row r="1" spans="1:16" s="70" customFormat="1" ht="34.5" customHeight="1">
      <c r="A1" s="70" t="s">
        <v>15</v>
      </c>
      <c r="B1" s="70" t="s">
        <v>69</v>
      </c>
      <c r="C1" s="70" t="s">
        <v>74</v>
      </c>
      <c r="D1" s="70" t="s">
        <v>75</v>
      </c>
      <c r="E1" s="70" t="s">
        <v>76</v>
      </c>
      <c r="F1" s="70" t="s">
        <v>71</v>
      </c>
      <c r="G1" s="70" t="s">
        <v>78</v>
      </c>
      <c r="H1" s="70" t="s">
        <v>70</v>
      </c>
      <c r="I1" s="70" t="s">
        <v>81</v>
      </c>
      <c r="J1" s="70" t="s">
        <v>80</v>
      </c>
      <c r="P1" s="86" t="s">
        <v>21</v>
      </c>
    </row>
    <row r="2" spans="1:16">
      <c r="A2" t="s">
        <v>72</v>
      </c>
      <c r="D2" s="67"/>
      <c r="E2" s="67"/>
      <c r="F2" s="73"/>
      <c r="G2" s="73"/>
      <c r="H2" s="66">
        <v>171000000</v>
      </c>
      <c r="I2" s="74">
        <f>Table245[[#This Row],[SEM number of cells per mg]]*1000</f>
        <v>9974957.0434099399</v>
      </c>
      <c r="J2" s="34"/>
      <c r="O2" s="85"/>
      <c r="P2" s="31" t="s">
        <v>114</v>
      </c>
    </row>
    <row r="3" spans="1:16">
      <c r="A3" t="s">
        <v>64</v>
      </c>
      <c r="D3" s="52">
        <f>AVERAGE(hep_vol[heparocyte volume])</f>
        <v>3144.6535500427644</v>
      </c>
      <c r="E3" s="52">
        <f>STDEV(hep_vol[heparocyte volume])/COUNT(hep_vol[heparocyte volume])</f>
        <v>95.698639960568627</v>
      </c>
      <c r="F3" s="69"/>
      <c r="G3" s="69"/>
      <c r="H3" s="66"/>
      <c r="I3" s="71"/>
      <c r="J3" s="34"/>
      <c r="O3" s="85"/>
      <c r="P3" s="31" t="s">
        <v>115</v>
      </c>
    </row>
    <row r="4" spans="1:16">
      <c r="A4" t="s">
        <v>68</v>
      </c>
      <c r="B4" s="29">
        <v>0.79300000000000004</v>
      </c>
      <c r="C4" s="32">
        <v>1.4E-2</v>
      </c>
      <c r="D4">
        <v>11300</v>
      </c>
      <c r="E4">
        <v>800</v>
      </c>
      <c r="F4" s="55">
        <f>102*10^6</f>
        <v>102000000</v>
      </c>
      <c r="G4" s="48">
        <f>11*10^6</f>
        <v>11000000</v>
      </c>
      <c r="H4" s="34"/>
      <c r="I4" s="34"/>
      <c r="J4" s="34"/>
      <c r="O4" s="85"/>
      <c r="P4" s="31" t="s">
        <v>116</v>
      </c>
    </row>
    <row r="5" spans="1:16">
      <c r="A5" t="s">
        <v>113</v>
      </c>
      <c r="B5" s="29">
        <v>0.67</v>
      </c>
      <c r="C5" s="29">
        <v>9.1999999999999998E-2</v>
      </c>
      <c r="D5" s="67"/>
      <c r="E5" s="67"/>
      <c r="F5" s="48">
        <f>1.72*10^11/976</f>
        <v>176229508.19672132</v>
      </c>
      <c r="G5" s="21">
        <f>SQRT(SUMSQ(0.56*10^11/976,1.72*10^11*196/(976^2)))</f>
        <v>67413669.172373608</v>
      </c>
      <c r="H5" s="34"/>
      <c r="I5" s="34"/>
      <c r="J5" s="34" t="s">
        <v>85</v>
      </c>
      <c r="O5" s="85"/>
      <c r="P5" s="31" t="s">
        <v>117</v>
      </c>
    </row>
    <row r="6" spans="1:16">
      <c r="A6" t="s">
        <v>77</v>
      </c>
      <c r="D6">
        <v>2300</v>
      </c>
      <c r="E6" s="52">
        <f>330/SQRT(3)</f>
        <v>190.52558883257652</v>
      </c>
      <c r="F6" s="69"/>
      <c r="H6" s="34"/>
      <c r="I6" s="34"/>
      <c r="J6" s="34"/>
      <c r="O6" s="85"/>
      <c r="P6" s="31" t="s">
        <v>118</v>
      </c>
    </row>
    <row r="7" spans="1:16">
      <c r="A7" t="s">
        <v>79</v>
      </c>
      <c r="B7" s="72"/>
      <c r="D7">
        <v>2850</v>
      </c>
      <c r="E7" s="34">
        <v>100</v>
      </c>
      <c r="F7" s="48">
        <v>233000000</v>
      </c>
      <c r="G7" s="48">
        <v>80000000</v>
      </c>
      <c r="H7" s="34"/>
      <c r="I7" s="34"/>
      <c r="J7" s="34" t="s">
        <v>82</v>
      </c>
      <c r="O7" s="85"/>
      <c r="P7" s="31" t="s">
        <v>119</v>
      </c>
    </row>
    <row r="8" spans="1:16">
      <c r="A8" t="s">
        <v>83</v>
      </c>
      <c r="B8" s="72"/>
      <c r="D8">
        <v>4982</v>
      </c>
      <c r="E8" s="34">
        <v>315</v>
      </c>
      <c r="F8" s="73"/>
      <c r="G8" s="73"/>
      <c r="H8" s="66">
        <v>215000000</v>
      </c>
      <c r="I8" s="66">
        <v>16000000</v>
      </c>
      <c r="J8" s="34" t="s">
        <v>84</v>
      </c>
      <c r="P8" t="s">
        <v>120</v>
      </c>
    </row>
    <row r="13" spans="1:16">
      <c r="D13" s="22"/>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I19" sqref="I19"/>
    </sheetView>
  </sheetViews>
  <sheetFormatPr defaultRowHeight="15"/>
  <sheetData>
    <row r="1" spans="1:2">
      <c r="A1" t="s">
        <v>65</v>
      </c>
      <c r="B1" t="s">
        <v>135</v>
      </c>
    </row>
    <row r="2" spans="1:2">
      <c r="A2">
        <v>1</v>
      </c>
      <c r="B2" s="30">
        <v>4.8649431110854E-2</v>
      </c>
    </row>
    <row r="3" spans="1:2">
      <c r="A3">
        <v>2</v>
      </c>
      <c r="B3" s="30">
        <v>3.5881995309921602E-2</v>
      </c>
    </row>
    <row r="4" spans="1:2">
      <c r="A4">
        <v>3</v>
      </c>
      <c r="B4" s="30">
        <v>3.62641498509019E-2</v>
      </c>
    </row>
    <row r="5" spans="1:2">
      <c r="A5">
        <v>4</v>
      </c>
      <c r="B5" s="30">
        <v>4.3357169740308697E-2</v>
      </c>
    </row>
    <row r="6" spans="1:2">
      <c r="A6">
        <v>5</v>
      </c>
      <c r="B6" s="30">
        <v>3.5042413363828503E-2</v>
      </c>
    </row>
    <row r="7" spans="1:2">
      <c r="A7">
        <v>6</v>
      </c>
      <c r="B7" s="30">
        <v>4.4972641208998097E-2</v>
      </c>
    </row>
    <row r="8" spans="1:2">
      <c r="A8">
        <v>7</v>
      </c>
      <c r="B8" s="30">
        <v>4.0902116325526303E-2</v>
      </c>
    </row>
    <row r="9" spans="1:2">
      <c r="A9">
        <v>8</v>
      </c>
      <c r="B9" s="30">
        <v>5.9343968037984002E-2</v>
      </c>
    </row>
    <row r="10" spans="1:2">
      <c r="A10" t="s">
        <v>39</v>
      </c>
      <c r="B10" s="32">
        <f>SUBTOTAL(101,Table9[Ki])</f>
        <v>4.3051735618540393E-2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4"/>
  <sheetViews>
    <sheetView zoomScale="85" zoomScaleNormal="85" workbookViewId="0">
      <selection activeCell="C35" sqref="C35"/>
    </sheetView>
  </sheetViews>
  <sheetFormatPr defaultRowHeight="15"/>
  <cols>
    <col min="1" max="1" width="25.140625" customWidth="1"/>
    <col min="2" max="2" width="31.42578125" bestFit="1" customWidth="1"/>
    <col min="3" max="3" width="30" customWidth="1"/>
    <col min="4" max="4" width="40.140625" customWidth="1"/>
    <col min="5" max="5" width="26.42578125" bestFit="1" customWidth="1"/>
    <col min="6" max="6" width="11.85546875" customWidth="1"/>
    <col min="7" max="7" width="8" customWidth="1"/>
    <col min="8" max="8" width="63.42578125" bestFit="1" customWidth="1"/>
    <col min="9" max="9" width="11" bestFit="1" customWidth="1"/>
    <col min="10" max="10" width="16.5703125" bestFit="1" customWidth="1"/>
    <col min="11" max="11" width="64.7109375" bestFit="1" customWidth="1"/>
    <col min="12" max="12" width="27.140625" bestFit="1" customWidth="1"/>
  </cols>
  <sheetData>
    <row r="1" spans="1:18">
      <c r="A1" t="s">
        <v>15</v>
      </c>
      <c r="B1" t="s">
        <v>136</v>
      </c>
      <c r="C1" t="s">
        <v>143</v>
      </c>
      <c r="D1" t="s">
        <v>137</v>
      </c>
      <c r="E1" t="s">
        <v>145</v>
      </c>
      <c r="F1" t="s">
        <v>140</v>
      </c>
      <c r="G1" t="s">
        <v>150</v>
      </c>
      <c r="H1" t="s">
        <v>146</v>
      </c>
      <c r="I1" t="s">
        <v>24</v>
      </c>
      <c r="J1" t="s">
        <v>168</v>
      </c>
      <c r="K1" t="s">
        <v>20</v>
      </c>
      <c r="L1" t="s">
        <v>155</v>
      </c>
      <c r="Q1" s="20" t="s">
        <v>65</v>
      </c>
      <c r="R1" s="20" t="s">
        <v>15</v>
      </c>
    </row>
    <row r="2" spans="1:18">
      <c r="A2" s="76" t="s">
        <v>138</v>
      </c>
      <c r="B2" s="76" t="s">
        <v>139</v>
      </c>
      <c r="C2" s="76" t="s">
        <v>144</v>
      </c>
      <c r="D2" s="76" t="s">
        <v>142</v>
      </c>
      <c r="E2" s="76" t="s">
        <v>149</v>
      </c>
      <c r="F2" s="76" t="s">
        <v>141</v>
      </c>
      <c r="G2" s="76">
        <v>34</v>
      </c>
      <c r="H2" s="76" t="s">
        <v>148</v>
      </c>
      <c r="I2" s="87">
        <f>3.5/1000</f>
        <v>3.5000000000000001E-3</v>
      </c>
      <c r="J2" s="87">
        <f>SQRT(3.1)/1000</f>
        <v>1.7606816861659008E-3</v>
      </c>
      <c r="K2" s="76" t="s">
        <v>151</v>
      </c>
      <c r="L2" s="88">
        <f>(Table11[cell cycle duration G1,G2,S,M '[h']]/24)/Table10[[#This Row],[value]]</f>
        <v>357.14285714285711</v>
      </c>
      <c r="Q2" s="85">
        <v>1</v>
      </c>
      <c r="R2" s="108" t="s">
        <v>251</v>
      </c>
    </row>
    <row r="3" spans="1:18" ht="15.75" thickBot="1">
      <c r="A3" s="89"/>
      <c r="B3" s="89"/>
      <c r="C3" s="89"/>
      <c r="D3" s="89"/>
      <c r="E3" s="89" t="s">
        <v>147</v>
      </c>
      <c r="F3" s="89" t="s">
        <v>141</v>
      </c>
      <c r="G3" s="89">
        <v>4</v>
      </c>
      <c r="H3" s="89" t="s">
        <v>148</v>
      </c>
      <c r="I3" s="90">
        <f>1/1000</f>
        <v>1E-3</v>
      </c>
      <c r="J3" s="90">
        <f>SQRT(0.25)/1000</f>
        <v>5.0000000000000001E-4</v>
      </c>
      <c r="K3" s="89" t="s">
        <v>151</v>
      </c>
      <c r="L3" s="91">
        <f>(Table11[cell cycle duration G1,G2,S,M '[h']]/24)/Table10[[#This Row],[value]]</f>
        <v>1250</v>
      </c>
      <c r="Q3" s="85">
        <v>2</v>
      </c>
      <c r="R3" s="108" t="s">
        <v>252</v>
      </c>
    </row>
    <row r="4" spans="1:18" ht="15.75" thickTop="1">
      <c r="A4" t="s">
        <v>156</v>
      </c>
      <c r="B4" t="s">
        <v>158</v>
      </c>
      <c r="C4" t="s">
        <v>159</v>
      </c>
      <c r="D4" t="s">
        <v>160</v>
      </c>
      <c r="E4" t="s">
        <v>166</v>
      </c>
      <c r="F4" t="s">
        <v>141</v>
      </c>
      <c r="G4">
        <v>8</v>
      </c>
      <c r="H4" t="s">
        <v>169</v>
      </c>
      <c r="I4" t="s">
        <v>170</v>
      </c>
      <c r="J4" t="s">
        <v>171</v>
      </c>
      <c r="K4" t="s">
        <v>174</v>
      </c>
      <c r="L4" s="88">
        <f>(Table11[cell cycle duration G1,G2,S,M '[h']]/24)/GEOMEAN(3.5%,6.5%)</f>
        <v>26.207120918047956</v>
      </c>
      <c r="Q4" s="85">
        <v>3</v>
      </c>
      <c r="R4" s="108" t="s">
        <v>246</v>
      </c>
    </row>
    <row r="5" spans="1:18">
      <c r="C5" t="s">
        <v>159</v>
      </c>
      <c r="E5" t="s">
        <v>167</v>
      </c>
      <c r="F5" t="s">
        <v>141</v>
      </c>
      <c r="G5">
        <v>15</v>
      </c>
      <c r="H5" t="s">
        <v>169</v>
      </c>
      <c r="I5" t="s">
        <v>173</v>
      </c>
      <c r="J5" t="s">
        <v>172</v>
      </c>
      <c r="K5" t="s">
        <v>174</v>
      </c>
      <c r="L5" s="88">
        <f>(Table11[cell cycle duration G1,G2,S,M '[h']]/24)/GEOMEAN(4%,16%)</f>
        <v>15.625</v>
      </c>
      <c r="Q5" s="85">
        <v>4</v>
      </c>
      <c r="R5" s="108" t="s">
        <v>254</v>
      </c>
    </row>
    <row r="6" spans="1:18" ht="15.75" thickBot="1">
      <c r="A6" s="89"/>
      <c r="B6" s="89"/>
      <c r="C6" s="89" t="s">
        <v>163</v>
      </c>
      <c r="D6" s="89"/>
      <c r="E6" s="89" t="s">
        <v>161</v>
      </c>
      <c r="F6" s="89" t="s">
        <v>162</v>
      </c>
      <c r="G6" s="89">
        <v>15</v>
      </c>
      <c r="H6" s="89" t="s">
        <v>164</v>
      </c>
      <c r="I6" s="89" t="s">
        <v>165</v>
      </c>
      <c r="J6" s="89"/>
      <c r="K6" s="89" t="s">
        <v>174</v>
      </c>
      <c r="L6" s="98" t="str">
        <f xml:space="preserve"> "&gt;" &amp; ROUND(Table11[cell cycle duration G1,G2,S,M '[h']]/24/0.01%,-2)</f>
        <v>&gt;12500</v>
      </c>
      <c r="Q6" s="85">
        <v>5</v>
      </c>
      <c r="R6" s="108" t="s">
        <v>247</v>
      </c>
    </row>
    <row r="7" spans="1:18" ht="15.75" thickTop="1">
      <c r="A7" t="s">
        <v>175</v>
      </c>
      <c r="B7" t="s">
        <v>176</v>
      </c>
      <c r="C7" t="s">
        <v>177</v>
      </c>
      <c r="E7" s="95" t="s">
        <v>180</v>
      </c>
      <c r="F7" s="95" t="s">
        <v>141</v>
      </c>
      <c r="G7">
        <v>67</v>
      </c>
      <c r="H7" t="s">
        <v>182</v>
      </c>
      <c r="I7" s="29">
        <v>0.26</v>
      </c>
      <c r="J7" s="29">
        <v>0.22</v>
      </c>
      <c r="L7" s="88">
        <f>(Table11[cell cycle duration G1,G2,S,M '[h']]/24)/Table10[[#This Row],[value]]</f>
        <v>4.8076923076923075</v>
      </c>
      <c r="Q7" s="85">
        <v>6</v>
      </c>
      <c r="R7" s="108" t="s">
        <v>253</v>
      </c>
    </row>
    <row r="8" spans="1:18" ht="15.75" thickBot="1">
      <c r="A8" s="89"/>
      <c r="B8" s="89" t="s">
        <v>178</v>
      </c>
      <c r="C8" s="89" t="s">
        <v>179</v>
      </c>
      <c r="D8" s="89" t="s">
        <v>181</v>
      </c>
      <c r="E8" s="89" t="s">
        <v>161</v>
      </c>
      <c r="F8" s="89" t="s">
        <v>162</v>
      </c>
      <c r="G8" s="89">
        <v>8</v>
      </c>
      <c r="H8" s="89" t="s">
        <v>182</v>
      </c>
      <c r="I8" s="96">
        <f>AVERAGE(Table9[Ki])</f>
        <v>4.3051735618540393E-2</v>
      </c>
      <c r="J8" s="96">
        <f>STDEV(Table9[Ki])</f>
        <v>8.1661391739201328E-3</v>
      </c>
      <c r="K8" s="89"/>
      <c r="L8" s="97">
        <f>(Table11[cell cycle duration G1,G2,S,M '[h']]/24)/Table10[[#This Row],[value]]</f>
        <v>29.034834067448905</v>
      </c>
      <c r="Q8" s="85">
        <v>7</v>
      </c>
      <c r="R8" s="108" t="s">
        <v>255</v>
      </c>
    </row>
    <row r="9" spans="1:18" ht="15.75" thickTop="1">
      <c r="A9" t="s">
        <v>183</v>
      </c>
      <c r="B9" t="s">
        <v>185</v>
      </c>
      <c r="C9" t="s">
        <v>184</v>
      </c>
      <c r="D9" t="s">
        <v>189</v>
      </c>
      <c r="E9" t="s">
        <v>186</v>
      </c>
      <c r="F9" t="s">
        <v>141</v>
      </c>
      <c r="G9">
        <v>14</v>
      </c>
      <c r="H9" t="s">
        <v>188</v>
      </c>
      <c r="I9" s="30">
        <f>10.8/1000</f>
        <v>1.0800000000000001E-2</v>
      </c>
      <c r="J9" s="30">
        <f>8.8/1000</f>
        <v>8.8000000000000005E-3</v>
      </c>
      <c r="L9" s="88">
        <f>(Table11[cell cycle duration G1,G2,S,M '[h']]/24)/Table10[[#This Row],[value]]</f>
        <v>115.74074074074073</v>
      </c>
      <c r="Q9" s="85">
        <v>8</v>
      </c>
      <c r="R9" s="109" t="s">
        <v>249</v>
      </c>
    </row>
    <row r="10" spans="1:18">
      <c r="A10" s="76"/>
      <c r="B10" s="76"/>
      <c r="C10" s="76" t="s">
        <v>184</v>
      </c>
      <c r="D10" s="76" t="s">
        <v>189</v>
      </c>
      <c r="E10" s="63" t="s">
        <v>244</v>
      </c>
      <c r="F10" s="63" t="s">
        <v>187</v>
      </c>
      <c r="G10" s="63">
        <v>14</v>
      </c>
      <c r="H10" s="63" t="s">
        <v>188</v>
      </c>
      <c r="I10" s="106">
        <f>3.1/1000</f>
        <v>3.0999999999999999E-3</v>
      </c>
      <c r="J10" s="106">
        <f>2.8/1000</f>
        <v>2.8E-3</v>
      </c>
      <c r="K10" s="63"/>
      <c r="L10" s="107">
        <f>(Table11[cell cycle duration G1,G2,S,M '[h']]/24)/Table10[[#This Row],[value]]</f>
        <v>403.22580645161293</v>
      </c>
      <c r="Q10" s="85">
        <v>9</v>
      </c>
      <c r="R10" s="108" t="s">
        <v>250</v>
      </c>
    </row>
    <row r="11" spans="1:18">
      <c r="E11" s="76" t="s">
        <v>186</v>
      </c>
      <c r="F11" s="76" t="s">
        <v>141</v>
      </c>
      <c r="G11" s="76">
        <v>14</v>
      </c>
      <c r="H11" s="76" t="s">
        <v>190</v>
      </c>
      <c r="I11" s="87">
        <f>4.2/10000</f>
        <v>4.2000000000000002E-4</v>
      </c>
      <c r="J11" s="87">
        <f>2.5/10000</f>
        <v>2.5000000000000001E-4</v>
      </c>
      <c r="K11" s="76" t="s">
        <v>191</v>
      </c>
      <c r="L11" s="88">
        <f>(Table11[apoptosis duration? '[h']]/24)/Table10[[#This Row],[value]]</f>
        <v>396.82539682539681</v>
      </c>
      <c r="Q11" s="85">
        <v>10</v>
      </c>
      <c r="R11" s="108" t="s">
        <v>248</v>
      </c>
    </row>
    <row r="12" spans="1:18" ht="15.75" thickBot="1">
      <c r="A12" s="89"/>
      <c r="B12" s="89"/>
      <c r="C12" s="89"/>
      <c r="D12" s="89"/>
      <c r="E12" s="92" t="s">
        <v>244</v>
      </c>
      <c r="F12" s="92" t="s">
        <v>187</v>
      </c>
      <c r="G12" s="92">
        <v>14</v>
      </c>
      <c r="H12" s="92" t="s">
        <v>190</v>
      </c>
      <c r="I12" s="93">
        <f>3.8/10000</f>
        <v>3.7999999999999997E-4</v>
      </c>
      <c r="J12" s="93">
        <f>4/10000</f>
        <v>4.0000000000000002E-4</v>
      </c>
      <c r="K12" s="92" t="s">
        <v>191</v>
      </c>
      <c r="L12" s="94">
        <f>(Table11[apoptosis duration? '[h']]/24)/Table10[[#This Row],[value]]</f>
        <v>438.59649122807019</v>
      </c>
      <c r="Q12" s="85"/>
      <c r="R12" s="85"/>
    </row>
    <row r="13" spans="1:18" ht="15.75" thickTop="1">
      <c r="A13" t="s">
        <v>193</v>
      </c>
      <c r="B13" t="s">
        <v>194</v>
      </c>
      <c r="C13" t="s">
        <v>196</v>
      </c>
      <c r="D13" t="s">
        <v>197</v>
      </c>
      <c r="E13" t="s">
        <v>198</v>
      </c>
      <c r="F13" t="s">
        <v>141</v>
      </c>
      <c r="G13">
        <v>50</v>
      </c>
      <c r="H13" t="s">
        <v>200</v>
      </c>
      <c r="I13" s="33">
        <v>3.5999999999999997E-2</v>
      </c>
      <c r="J13" s="33">
        <v>2.4E-2</v>
      </c>
      <c r="K13" t="s">
        <v>201</v>
      </c>
      <c r="L13" s="88">
        <f>(Table11[cell cycle duration G1,G2,S,M '[h']]/24)/Table10[[#This Row],[value]]</f>
        <v>34.722222222222221</v>
      </c>
      <c r="Q13" s="85"/>
      <c r="R13" s="85"/>
    </row>
    <row r="14" spans="1:18" ht="15.75" thickBot="1">
      <c r="A14" s="89"/>
      <c r="B14" s="89"/>
      <c r="C14" s="89" t="s">
        <v>195</v>
      </c>
      <c r="D14" s="89"/>
      <c r="E14" s="89" t="s">
        <v>199</v>
      </c>
      <c r="F14" s="89" t="s">
        <v>141</v>
      </c>
      <c r="G14" s="89">
        <v>158</v>
      </c>
      <c r="H14" s="89" t="s">
        <v>200</v>
      </c>
      <c r="I14" s="99">
        <v>1.6E-2</v>
      </c>
      <c r="J14" s="99">
        <v>1.4999999999999999E-2</v>
      </c>
      <c r="K14" s="89" t="s">
        <v>201</v>
      </c>
      <c r="L14" s="91">
        <f>(Table11[cell cycle duration G1,G2,S,M '[h']]/24)/Table10[[#This Row],[value]]</f>
        <v>78.125</v>
      </c>
      <c r="Q14" s="85"/>
      <c r="R14" s="85"/>
    </row>
    <row r="15" spans="1:18" ht="15.75" thickTop="1">
      <c r="A15" t="s">
        <v>205</v>
      </c>
      <c r="B15" t="s">
        <v>204</v>
      </c>
      <c r="C15" t="s">
        <v>203</v>
      </c>
      <c r="D15" t="s">
        <v>202</v>
      </c>
      <c r="E15" t="s">
        <v>207</v>
      </c>
      <c r="F15" t="s">
        <v>141</v>
      </c>
      <c r="G15">
        <v>95</v>
      </c>
      <c r="H15" t="s">
        <v>208</v>
      </c>
      <c r="I15" s="34" t="s">
        <v>209</v>
      </c>
      <c r="J15" s="34"/>
      <c r="K15" t="s">
        <v>211</v>
      </c>
      <c r="L15" s="44">
        <f>Table11[S phase duration '[h']]/24/AVERAGE(3.6%,6.4%)</f>
        <v>5.833333333333333</v>
      </c>
      <c r="Q15" s="85"/>
      <c r="R15" s="85"/>
    </row>
    <row r="16" spans="1:18">
      <c r="A16" s="76"/>
      <c r="B16" s="76"/>
      <c r="C16" s="76" t="s">
        <v>206</v>
      </c>
      <c r="D16" s="76" t="s">
        <v>202</v>
      </c>
      <c r="E16" s="76" t="s">
        <v>161</v>
      </c>
      <c r="F16" s="76" t="s">
        <v>162</v>
      </c>
      <c r="G16" s="76">
        <v>26</v>
      </c>
      <c r="H16" s="76" t="s">
        <v>208</v>
      </c>
      <c r="I16" s="102">
        <v>2.1000000000000001E-2</v>
      </c>
      <c r="J16" s="102">
        <v>2.1000000000000001E-2</v>
      </c>
      <c r="K16" s="76" t="s">
        <v>211</v>
      </c>
      <c r="L16" s="77">
        <f>Table11[S phase duration '[h']]/24/Table10[[#This Row],[value]]</f>
        <v>13.888888888888889</v>
      </c>
      <c r="Q16" s="85"/>
      <c r="R16" s="85"/>
    </row>
    <row r="17" spans="1:18" ht="15.75" thickBot="1">
      <c r="A17" s="89"/>
      <c r="B17" s="89"/>
      <c r="C17" s="89"/>
      <c r="D17" s="89" t="s">
        <v>202</v>
      </c>
      <c r="E17" s="89" t="s">
        <v>161</v>
      </c>
      <c r="F17" s="89" t="s">
        <v>162</v>
      </c>
      <c r="G17" s="89">
        <v>26</v>
      </c>
      <c r="H17" s="89" t="s">
        <v>210</v>
      </c>
      <c r="I17" s="99">
        <v>4.3999999999999997E-2</v>
      </c>
      <c r="J17" s="100">
        <v>0.04</v>
      </c>
      <c r="K17" s="89" t="s">
        <v>211</v>
      </c>
      <c r="L17" s="101">
        <f>Table11[cell cycle duration G1,G2,S,M '[h']]/24/Table10[[#This Row],[value]]</f>
        <v>28.40909090909091</v>
      </c>
      <c r="Q17" s="85"/>
      <c r="R17" s="85"/>
    </row>
    <row r="18" spans="1:18" ht="15.75" thickTop="1">
      <c r="A18" s="76" t="s">
        <v>212</v>
      </c>
      <c r="B18" t="s">
        <v>218</v>
      </c>
      <c r="C18" s="76" t="s">
        <v>215</v>
      </c>
      <c r="D18" s="76" t="s">
        <v>213</v>
      </c>
      <c r="E18" s="76" t="s">
        <v>157</v>
      </c>
      <c r="F18" s="76" t="s">
        <v>141</v>
      </c>
      <c r="G18" s="76">
        <v>22</v>
      </c>
      <c r="H18" s="76" t="s">
        <v>214</v>
      </c>
      <c r="I18" s="103">
        <v>0.2</v>
      </c>
      <c r="J18" s="103">
        <v>0.15</v>
      </c>
      <c r="K18" s="76"/>
      <c r="L18" s="104">
        <f>(Table11[cell cycle duration G1,G2,S,M '[h']]/24)/Table10[[#This Row],[value]]</f>
        <v>6.25</v>
      </c>
      <c r="Q18" s="85"/>
    </row>
    <row r="19" spans="1:18">
      <c r="A19" s="76"/>
      <c r="B19" s="76"/>
      <c r="C19" s="76" t="s">
        <v>215</v>
      </c>
      <c r="D19" s="76" t="s">
        <v>213</v>
      </c>
      <c r="E19" s="76" t="s">
        <v>180</v>
      </c>
      <c r="F19" s="76" t="s">
        <v>141</v>
      </c>
      <c r="G19" s="76">
        <v>7</v>
      </c>
      <c r="H19" s="76" t="s">
        <v>214</v>
      </c>
      <c r="I19" s="103">
        <v>0.6</v>
      </c>
      <c r="J19" s="103">
        <v>0.15</v>
      </c>
      <c r="K19" s="76"/>
      <c r="L19" s="88">
        <f>(Table11[cell cycle duration G1,G2,S,M '[h']]/24)/Table10[[#This Row],[value]]</f>
        <v>2.0833333333333335</v>
      </c>
      <c r="Q19" s="85"/>
    </row>
    <row r="20" spans="1:18" ht="15.75" thickBot="1">
      <c r="A20" s="89"/>
      <c r="B20" s="89"/>
      <c r="C20" s="89" t="s">
        <v>216</v>
      </c>
      <c r="D20" s="89" t="s">
        <v>213</v>
      </c>
      <c r="E20" s="89" t="s">
        <v>161</v>
      </c>
      <c r="F20" s="89" t="s">
        <v>187</v>
      </c>
      <c r="G20" s="89">
        <v>2</v>
      </c>
      <c r="H20" s="89" t="s">
        <v>214</v>
      </c>
      <c r="I20" s="105">
        <v>0</v>
      </c>
      <c r="J20" s="105">
        <v>0</v>
      </c>
      <c r="K20" s="105" t="s">
        <v>217</v>
      </c>
      <c r="L20" s="110" t="s">
        <v>256</v>
      </c>
      <c r="Q20" s="85"/>
    </row>
    <row r="21" spans="1:18" ht="15.75" thickTop="1">
      <c r="A21" t="s">
        <v>219</v>
      </c>
      <c r="B21" t="s">
        <v>220</v>
      </c>
      <c r="C21" t="s">
        <v>221</v>
      </c>
      <c r="D21" t="s">
        <v>222</v>
      </c>
      <c r="E21" t="s">
        <v>223</v>
      </c>
      <c r="F21" t="s">
        <v>141</v>
      </c>
      <c r="G21">
        <v>12</v>
      </c>
      <c r="H21" t="s">
        <v>225</v>
      </c>
      <c r="I21" s="33">
        <v>2.5000000000000001E-2</v>
      </c>
      <c r="J21" s="33">
        <v>1.6E-2</v>
      </c>
      <c r="L21" s="52">
        <f>(Table11[S phase duration '[h']]/24)/Table10[[#This Row],[value]]</f>
        <v>11.666666666666666</v>
      </c>
      <c r="Q21" s="85"/>
    </row>
    <row r="22" spans="1:18" ht="15.75" thickBot="1">
      <c r="A22" s="89"/>
      <c r="B22" s="89"/>
      <c r="C22" s="89"/>
      <c r="D22" s="89"/>
      <c r="E22" s="89" t="s">
        <v>224</v>
      </c>
      <c r="F22" s="89" t="s">
        <v>141</v>
      </c>
      <c r="G22" s="89">
        <v>85</v>
      </c>
      <c r="H22" s="89" t="s">
        <v>225</v>
      </c>
      <c r="I22" s="99">
        <v>8.9999999999999993E-3</v>
      </c>
      <c r="J22" s="99">
        <v>6.0000000000000001E-3</v>
      </c>
      <c r="K22" s="89"/>
      <c r="L22" s="91">
        <f>(Table11[S phase duration '[h']]/24)/Table10[[#This Row],[value]]</f>
        <v>32.407407407407412</v>
      </c>
      <c r="Q22" s="85"/>
    </row>
    <row r="23" spans="1:18" ht="15.75" thickTop="1">
      <c r="A23" t="s">
        <v>226</v>
      </c>
      <c r="C23" t="s">
        <v>184</v>
      </c>
      <c r="D23" t="s">
        <v>231</v>
      </c>
      <c r="E23" t="s">
        <v>229</v>
      </c>
      <c r="F23" t="s">
        <v>141</v>
      </c>
      <c r="G23">
        <v>70</v>
      </c>
      <c r="H23" t="s">
        <v>233</v>
      </c>
      <c r="I23" s="29">
        <v>0.13</v>
      </c>
      <c r="J23" s="34"/>
      <c r="L23" s="88">
        <f>(Table11[cell cycle duration G1,G2,S,M '[h']]/24)/Table10[[#This Row],[value]]</f>
        <v>9.615384615384615</v>
      </c>
      <c r="Q23" s="85"/>
    </row>
    <row r="24" spans="1:18">
      <c r="C24" t="s">
        <v>227</v>
      </c>
      <c r="D24" t="s">
        <v>231</v>
      </c>
      <c r="E24" t="s">
        <v>230</v>
      </c>
      <c r="F24" t="s">
        <v>141</v>
      </c>
      <c r="G24">
        <v>15</v>
      </c>
      <c r="H24" t="s">
        <v>233</v>
      </c>
      <c r="I24" s="32">
        <v>0.26400000000000001</v>
      </c>
      <c r="J24" s="34"/>
      <c r="L24" s="88">
        <f>(Table11[cell cycle duration G1,G2,S,M '[h']]/24)/Table10[[#This Row],[value]]</f>
        <v>4.7348484848484844</v>
      </c>
      <c r="Q24" s="85"/>
    </row>
    <row r="25" spans="1:18" ht="15.75" thickBot="1">
      <c r="A25" s="89"/>
      <c r="B25" s="89"/>
      <c r="C25" s="89" t="s">
        <v>228</v>
      </c>
      <c r="D25" s="89" t="s">
        <v>231</v>
      </c>
      <c r="E25" s="89" t="s">
        <v>161</v>
      </c>
      <c r="F25" s="89" t="s">
        <v>162</v>
      </c>
      <c r="G25" s="89">
        <v>10</v>
      </c>
      <c r="H25" s="89" t="s">
        <v>232</v>
      </c>
      <c r="I25" s="89" t="s">
        <v>165</v>
      </c>
      <c r="J25" s="105"/>
      <c r="K25" s="89"/>
      <c r="L25" s="98" t="str">
        <f xml:space="preserve"> "&gt;" &amp; ROUND(Table11[cell cycle duration G1,G2,S,M '[h']]/24/0.01%,-2)</f>
        <v>&gt;12500</v>
      </c>
      <c r="Q25" s="85"/>
    </row>
    <row r="26" spans="1:18" ht="15.75" thickTop="1">
      <c r="A26" t="s">
        <v>245</v>
      </c>
      <c r="B26" t="s">
        <v>236</v>
      </c>
      <c r="D26" t="s">
        <v>235</v>
      </c>
      <c r="E26" t="s">
        <v>237</v>
      </c>
      <c r="F26" t="s">
        <v>141</v>
      </c>
      <c r="G26">
        <v>21</v>
      </c>
      <c r="H26" t="s">
        <v>240</v>
      </c>
      <c r="I26" s="33">
        <v>7.0000000000000001E-3</v>
      </c>
      <c r="J26" s="34" t="s">
        <v>242</v>
      </c>
      <c r="L26" s="52">
        <f>(Table11[cell cycle duration G1,G2,S,M '[h']]/24)/Table10[[#This Row],[value]]</f>
        <v>178.57142857142856</v>
      </c>
      <c r="Q26" s="85"/>
    </row>
    <row r="27" spans="1:18">
      <c r="D27" t="s">
        <v>235</v>
      </c>
      <c r="E27" t="s">
        <v>238</v>
      </c>
      <c r="F27" t="s">
        <v>141</v>
      </c>
      <c r="G27">
        <v>18</v>
      </c>
      <c r="H27" t="s">
        <v>240</v>
      </c>
      <c r="I27" s="33">
        <v>3.0000000000000001E-3</v>
      </c>
      <c r="J27" s="34" t="s">
        <v>241</v>
      </c>
      <c r="L27" s="52">
        <f>(Table11[cell cycle duration G1,G2,S,M '[h']]/24)/Table10[[#This Row],[value]]</f>
        <v>416.66666666666669</v>
      </c>
      <c r="Q27" s="85"/>
    </row>
    <row r="28" spans="1:18">
      <c r="D28" t="s">
        <v>235</v>
      </c>
      <c r="E28" t="s">
        <v>180</v>
      </c>
      <c r="F28" t="s">
        <v>141</v>
      </c>
      <c r="G28">
        <v>39</v>
      </c>
      <c r="H28" t="s">
        <v>240</v>
      </c>
      <c r="I28" s="33">
        <v>7.5999999999999998E-2</v>
      </c>
      <c r="J28" s="34" t="s">
        <v>243</v>
      </c>
      <c r="L28" s="52">
        <f>(Table11[cell cycle duration G1,G2,S,M '[h']]/24)/Table10[[#This Row],[value]]</f>
        <v>16.447368421052634</v>
      </c>
    </row>
    <row r="29" spans="1:18">
      <c r="C29" t="s">
        <v>234</v>
      </c>
      <c r="D29" t="s">
        <v>235</v>
      </c>
      <c r="E29" t="s">
        <v>161</v>
      </c>
      <c r="F29" t="s">
        <v>162</v>
      </c>
      <c r="G29">
        <v>20</v>
      </c>
      <c r="H29" t="s">
        <v>240</v>
      </c>
      <c r="I29" s="33">
        <v>2E-3</v>
      </c>
      <c r="J29" s="34" t="s">
        <v>241</v>
      </c>
      <c r="K29" t="s">
        <v>239</v>
      </c>
      <c r="L29" s="52">
        <f>(Table11[cell cycle duration G1,G2,S,M '[h']]/24)/Table10[[#This Row],[value]]</f>
        <v>625</v>
      </c>
    </row>
    <row r="30" spans="1:18">
      <c r="I30" s="34"/>
      <c r="J30" s="34"/>
      <c r="L30" s="34"/>
    </row>
    <row r="31" spans="1:18">
      <c r="I31" s="34"/>
      <c r="J31" s="34"/>
      <c r="L31" s="34"/>
    </row>
    <row r="32" spans="1:18">
      <c r="A32" s="20" t="s">
        <v>152</v>
      </c>
    </row>
    <row r="33" spans="1:3">
      <c r="A33" t="s">
        <v>154</v>
      </c>
      <c r="B33" t="s">
        <v>153</v>
      </c>
      <c r="C33" t="s">
        <v>192</v>
      </c>
    </row>
    <row r="34" spans="1:3">
      <c r="A34">
        <v>7</v>
      </c>
      <c r="B34">
        <v>30</v>
      </c>
      <c r="C34">
        <v>4</v>
      </c>
    </row>
  </sheetData>
  <hyperlinks>
    <hyperlink ref="R6" r:id="rId1"/>
    <hyperlink ref="R10" r:id="rId2"/>
    <hyperlink ref="R9" r:id="rId3"/>
    <hyperlink ref="R2" r:id="rId4"/>
    <hyperlink ref="R3" r:id="rId5"/>
    <hyperlink ref="R4" r:id="rId6"/>
    <hyperlink ref="R7" r:id="rId7"/>
    <hyperlink ref="R5" r:id="rId8"/>
    <hyperlink ref="R11" r:id="rId9"/>
    <hyperlink ref="R8" r:id="rId10"/>
  </hyperlinks>
  <pageMargins left="0.7" right="0.7" top="0.75" bottom="0.75" header="0.3" footer="0.3"/>
  <legacyDrawing r:id="rId11"/>
  <tableParts count="2">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
  <sheetViews>
    <sheetView workbookViewId="0">
      <selection activeCell="A29" sqref="A29"/>
    </sheetView>
  </sheetViews>
  <sheetFormatPr defaultRowHeight="15"/>
  <cols>
    <col min="1" max="1" width="36.42578125" customWidth="1"/>
    <col min="2" max="2" width="11.7109375" customWidth="1"/>
    <col min="6" max="6" width="10.5703125" bestFit="1" customWidth="1"/>
  </cols>
  <sheetData>
    <row r="1" spans="1:33">
      <c r="A1" t="s">
        <v>23</v>
      </c>
      <c r="B1" s="19" t="s">
        <v>24</v>
      </c>
      <c r="C1" t="s">
        <v>16</v>
      </c>
      <c r="D1" t="s">
        <v>17</v>
      </c>
      <c r="E1" t="s">
        <v>18</v>
      </c>
      <c r="F1" t="s">
        <v>19</v>
      </c>
      <c r="G1" t="s">
        <v>20</v>
      </c>
      <c r="H1" t="s">
        <v>15</v>
      </c>
      <c r="L1" s="20" t="s">
        <v>21</v>
      </c>
      <c r="M1" s="19"/>
    </row>
    <row r="2" spans="1:33">
      <c r="A2" s="38" t="s">
        <v>42</v>
      </c>
      <c r="B2" s="36">
        <v>1800</v>
      </c>
      <c r="C2" s="5" t="s">
        <v>44</v>
      </c>
      <c r="D2" s="53">
        <f t="shared" ref="D2" si="0">1000*(2.3-1.4)/(_xlfn.NORM.INV(0.9,0,1)-_xlfn.NORM.INV(0.1,0,1))</f>
        <v>351.13686573257053</v>
      </c>
      <c r="E2" s="5">
        <v>38</v>
      </c>
      <c r="F2" s="54">
        <f>ROUND(Table2586[[#This Row],[SD]]/SQRT(Table2586[[#This Row],[N]]),-1)</f>
        <v>60</v>
      </c>
      <c r="G2" s="5" t="s">
        <v>50</v>
      </c>
      <c r="H2" s="35" t="s">
        <v>43</v>
      </c>
      <c r="L2" s="31" t="s">
        <v>121</v>
      </c>
      <c r="U2" s="22"/>
      <c r="V2" s="34"/>
      <c r="X2" s="55"/>
      <c r="Z2" s="22"/>
      <c r="AA2" s="34"/>
      <c r="AC2" s="55"/>
    </row>
    <row r="3" spans="1:33">
      <c r="A3" s="11" t="s">
        <v>86</v>
      </c>
      <c r="B3" s="61">
        <v>1.05</v>
      </c>
      <c r="C3" s="8" t="s">
        <v>73</v>
      </c>
      <c r="D3" s="47">
        <v>1.2999999999999999E-2</v>
      </c>
      <c r="E3" s="8">
        <v>21</v>
      </c>
      <c r="F3" s="75">
        <f>Table2586[[#This Row],[SD]]/SQRT(Table2586[[#This Row],[N]])</f>
        <v>2.8368325730679009E-3</v>
      </c>
      <c r="G3" s="8"/>
      <c r="H3" s="25" t="s">
        <v>87</v>
      </c>
      <c r="L3" t="s">
        <v>122</v>
      </c>
      <c r="U3" s="30"/>
      <c r="V3" s="34"/>
      <c r="X3" s="48"/>
      <c r="Y3" s="55"/>
      <c r="Z3" s="30"/>
      <c r="AA3" s="34"/>
      <c r="AC3" s="48"/>
      <c r="AD3" s="55"/>
      <c r="AG3" s="29"/>
    </row>
    <row r="4" spans="1:33">
      <c r="A4" s="10" t="s">
        <v>45</v>
      </c>
      <c r="B4" s="36">
        <v>39.1</v>
      </c>
      <c r="C4" s="5" t="s">
        <v>46</v>
      </c>
      <c r="D4" s="51"/>
      <c r="E4" s="5"/>
      <c r="F4" s="49"/>
      <c r="G4" s="5"/>
      <c r="H4" s="35"/>
      <c r="L4" s="31" t="s">
        <v>123</v>
      </c>
      <c r="M4" s="85"/>
      <c r="U4" s="30"/>
      <c r="V4" s="34"/>
      <c r="X4" s="48"/>
      <c r="Z4" s="30"/>
      <c r="AA4" s="34"/>
      <c r="AC4" s="48"/>
      <c r="AG4" s="29"/>
    </row>
    <row r="5" spans="1:33">
      <c r="A5" s="11" t="s">
        <v>90</v>
      </c>
      <c r="B5" s="61">
        <v>4.5</v>
      </c>
      <c r="C5" s="8" t="s">
        <v>44</v>
      </c>
      <c r="D5" s="47"/>
      <c r="E5" s="8"/>
      <c r="F5" s="50">
        <f>(6.5-3.1)/(_xlfn.NORM.INV(0.9,0,1)-_xlfn.NORM.INV(0.1,0,1))</f>
        <v>1.3265170483230442</v>
      </c>
      <c r="G5" s="8" t="s">
        <v>51</v>
      </c>
      <c r="H5" s="25" t="s">
        <v>43</v>
      </c>
      <c r="L5" t="s">
        <v>124</v>
      </c>
      <c r="M5" s="85"/>
      <c r="AC5" s="55"/>
    </row>
    <row r="6" spans="1:33">
      <c r="A6" s="10" t="s">
        <v>47</v>
      </c>
      <c r="B6" s="36">
        <v>9.1999999999999998E-3</v>
      </c>
      <c r="C6" s="5" t="s">
        <v>48</v>
      </c>
      <c r="D6" s="51"/>
      <c r="E6" s="5"/>
      <c r="F6" s="49">
        <v>1E-3</v>
      </c>
      <c r="G6" s="5"/>
      <c r="H6" s="35" t="s">
        <v>49</v>
      </c>
      <c r="L6" s="85"/>
      <c r="M6" s="85"/>
    </row>
    <row r="7" spans="1:33">
      <c r="A7" s="76" t="s">
        <v>88</v>
      </c>
      <c r="B7" s="78">
        <f>Cell_dist!$H$2/SUM(Table24[% of rat parenchymal vol '[1']])</f>
        <v>0.92508917954815695</v>
      </c>
      <c r="C7" s="79" t="s">
        <v>22</v>
      </c>
      <c r="D7" s="80"/>
      <c r="E7" s="79"/>
      <c r="F7" s="81">
        <f>Cell_dist!$I$2/SUM(Table24[% of rat parenchymal vol '[1']])</f>
        <v>1.3674197384066587E-2</v>
      </c>
      <c r="G7" s="79" t="s">
        <v>89</v>
      </c>
      <c r="H7" s="82" t="s">
        <v>8</v>
      </c>
      <c r="L7" s="85"/>
      <c r="M7" s="85"/>
    </row>
    <row r="8" spans="1:33">
      <c r="L8" s="85"/>
      <c r="M8" s="85"/>
    </row>
    <row r="9" spans="1:33">
      <c r="L9" s="85"/>
      <c r="M9" s="85"/>
    </row>
    <row r="10" spans="1:33">
      <c r="L10" s="85"/>
      <c r="M10" s="85"/>
    </row>
    <row r="11" spans="1:33">
      <c r="L11" s="85"/>
    </row>
    <row r="12" spans="1:33">
      <c r="L12" s="85"/>
      <c r="M12" s="85"/>
    </row>
    <row r="13" spans="1:33">
      <c r="L13" s="8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27" sqref="H27"/>
    </sheetView>
  </sheetViews>
  <sheetFormatPr defaultRowHeight="15"/>
  <cols>
    <col min="1" max="1" width="26.7109375" customWidth="1"/>
    <col min="2" max="2" width="10" bestFit="1" customWidth="1"/>
    <col min="3" max="3" width="11.85546875" bestFit="1" customWidth="1"/>
    <col min="8" max="8" width="20.5703125" bestFit="1" customWidth="1"/>
  </cols>
  <sheetData>
    <row r="1" spans="1:14">
      <c r="A1" t="s">
        <v>23</v>
      </c>
      <c r="B1" s="19" t="s">
        <v>24</v>
      </c>
      <c r="C1" t="s">
        <v>16</v>
      </c>
      <c r="D1" t="s">
        <v>17</v>
      </c>
      <c r="E1" t="s">
        <v>18</v>
      </c>
      <c r="F1" t="s">
        <v>19</v>
      </c>
      <c r="G1" t="s">
        <v>20</v>
      </c>
      <c r="H1" t="s">
        <v>15</v>
      </c>
      <c r="N1" s="20" t="s">
        <v>21</v>
      </c>
    </row>
    <row r="2" spans="1:14">
      <c r="A2" s="37" t="s">
        <v>27</v>
      </c>
      <c r="B2" s="39">
        <f>1.84*10^8</f>
        <v>184000000</v>
      </c>
      <c r="C2" s="29" t="s">
        <v>25</v>
      </c>
      <c r="D2" s="30"/>
      <c r="F2" s="40"/>
      <c r="H2" t="s">
        <v>61</v>
      </c>
      <c r="N2" s="31"/>
    </row>
    <row r="3" spans="1:14">
      <c r="A3" s="37" t="s">
        <v>26</v>
      </c>
      <c r="B3" s="39">
        <f t="shared" ref="B3" si="0">1.2*10^8</f>
        <v>120000000</v>
      </c>
      <c r="C3" s="29" t="s">
        <v>25</v>
      </c>
      <c r="D3" s="30"/>
      <c r="F3" s="30"/>
      <c r="H3" t="s">
        <v>61</v>
      </c>
      <c r="N3" s="31"/>
    </row>
    <row r="4" spans="1:14">
      <c r="A4" s="37" t="s">
        <v>26</v>
      </c>
      <c r="B4" s="39">
        <f>1.7*10^8</f>
        <v>170000000</v>
      </c>
      <c r="C4" s="29" t="s">
        <v>25</v>
      </c>
      <c r="D4" s="30"/>
      <c r="E4" s="34"/>
      <c r="F4" s="39">
        <f t="shared" ref="F4" si="1">0.1*10^8</f>
        <v>10000000</v>
      </c>
      <c r="H4" t="s">
        <v>62</v>
      </c>
      <c r="N4" s="31"/>
    </row>
    <row r="6" spans="1:14">
      <c r="H6" s="28"/>
    </row>
    <row r="7" spans="1:14">
      <c r="H7" s="28"/>
    </row>
    <row r="8" spans="1:14">
      <c r="H8" s="2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
  <sheetViews>
    <sheetView zoomScale="85" zoomScaleNormal="85" workbookViewId="0">
      <selection activeCell="A5" sqref="A1:E5"/>
    </sheetView>
  </sheetViews>
  <sheetFormatPr defaultRowHeight="15"/>
  <cols>
    <col min="1" max="1" width="15.85546875" bestFit="1" customWidth="1"/>
    <col min="2" max="2" width="16.140625" bestFit="1" customWidth="1"/>
    <col min="3" max="3" width="13" customWidth="1"/>
    <col min="4" max="4" width="17.140625" customWidth="1"/>
    <col min="5" max="7" width="12.140625" customWidth="1"/>
    <col min="8" max="8" width="17.7109375" customWidth="1"/>
    <col min="9" max="9" width="17.85546875" customWidth="1"/>
    <col min="10" max="10" width="15.140625" customWidth="1"/>
    <col min="11" max="11" width="16.7109375" bestFit="1" customWidth="1"/>
    <col min="12" max="12" width="16.5703125" customWidth="1"/>
    <col min="13" max="13" width="11.42578125" customWidth="1"/>
    <col min="15" max="15" width="13.5703125" customWidth="1"/>
    <col min="16" max="16" width="14.5703125" bestFit="1" customWidth="1"/>
    <col min="17" max="17" width="17.28515625" bestFit="1" customWidth="1"/>
    <col min="23" max="23" width="24" bestFit="1" customWidth="1"/>
  </cols>
  <sheetData>
    <row r="1" spans="1:24" ht="51" customHeight="1">
      <c r="A1" s="1" t="s">
        <v>0</v>
      </c>
      <c r="B1" s="1" t="s">
        <v>1</v>
      </c>
      <c r="C1" s="2" t="s">
        <v>104</v>
      </c>
      <c r="D1" s="1" t="s">
        <v>105</v>
      </c>
      <c r="E1" s="1" t="s">
        <v>106</v>
      </c>
      <c r="F1" s="2" t="s">
        <v>109</v>
      </c>
      <c r="G1" s="3" t="s">
        <v>110</v>
      </c>
      <c r="H1" s="2" t="s">
        <v>103</v>
      </c>
      <c r="I1" s="2" t="s">
        <v>6</v>
      </c>
      <c r="J1" s="23" t="s">
        <v>55</v>
      </c>
      <c r="K1" s="23" t="s">
        <v>57</v>
      </c>
      <c r="L1" s="23" t="s">
        <v>58</v>
      </c>
      <c r="M1" s="3" t="s">
        <v>59</v>
      </c>
      <c r="N1" s="3" t="s">
        <v>60</v>
      </c>
      <c r="O1" s="23" t="s">
        <v>91</v>
      </c>
      <c r="P1" s="23" t="s">
        <v>95</v>
      </c>
      <c r="Q1" s="23" t="s">
        <v>96</v>
      </c>
      <c r="V1" s="20" t="s">
        <v>9</v>
      </c>
      <c r="W1" t="s">
        <v>131</v>
      </c>
      <c r="X1" t="s">
        <v>132</v>
      </c>
    </row>
    <row r="2" spans="1:24">
      <c r="A2" s="4" t="s">
        <v>3</v>
      </c>
      <c r="B2" s="6" t="s">
        <v>13</v>
      </c>
      <c r="C2" s="6"/>
      <c r="D2" s="12">
        <v>1</v>
      </c>
      <c r="E2" s="6"/>
      <c r="F2" s="6"/>
      <c r="G2" s="6"/>
      <c r="H2" s="12">
        <v>0.77800000000000002</v>
      </c>
      <c r="I2" s="13">
        <v>1.15E-2</v>
      </c>
      <c r="J2" s="12">
        <v>0</v>
      </c>
      <c r="K2" s="26">
        <v>0</v>
      </c>
      <c r="L2" s="26">
        <v>0</v>
      </c>
      <c r="M2" s="26"/>
      <c r="N2" s="26"/>
      <c r="O2" s="26">
        <v>0</v>
      </c>
      <c r="P2" s="22">
        <v>0.44664536741214111</v>
      </c>
      <c r="Q2" s="22">
        <v>2.1725239616613413E-2</v>
      </c>
      <c r="V2" t="s">
        <v>7</v>
      </c>
      <c r="W2" t="s">
        <v>8</v>
      </c>
      <c r="X2" s="31" t="s">
        <v>124</v>
      </c>
    </row>
    <row r="3" spans="1:24">
      <c r="A3" s="4" t="s">
        <v>4</v>
      </c>
      <c r="B3" s="6" t="s">
        <v>12</v>
      </c>
      <c r="C3" s="6"/>
      <c r="D3" s="6"/>
      <c r="E3" s="6"/>
      <c r="F3" s="6"/>
      <c r="G3" s="6"/>
      <c r="H3" s="13">
        <v>2.1000000000000001E-2</v>
      </c>
      <c r="I3" s="13">
        <v>3.0000000000000001E-3</v>
      </c>
      <c r="J3" s="26">
        <v>0.23</v>
      </c>
      <c r="K3" s="26">
        <v>0.31</v>
      </c>
      <c r="L3" s="26">
        <v>4.4999999999999998E-2</v>
      </c>
      <c r="M3" s="57">
        <f>17*10^6</f>
        <v>17000000</v>
      </c>
      <c r="N3" s="58">
        <f>3*10^6</f>
        <v>3000000</v>
      </c>
      <c r="O3" s="26">
        <v>0.25</v>
      </c>
      <c r="P3" s="22">
        <v>0.16805111821086202</v>
      </c>
      <c r="Q3" s="22">
        <v>3.1948881789138045E-2</v>
      </c>
      <c r="V3" t="s">
        <v>11</v>
      </c>
      <c r="W3" t="s">
        <v>10</v>
      </c>
      <c r="X3" s="31" t="s">
        <v>125</v>
      </c>
    </row>
    <row r="4" spans="1:24">
      <c r="A4" s="4" t="s">
        <v>5</v>
      </c>
      <c r="B4" s="6" t="s">
        <v>12</v>
      </c>
      <c r="C4" s="13">
        <v>1.9E-2</v>
      </c>
      <c r="D4" s="13">
        <f>64/1000</f>
        <v>6.4000000000000001E-2</v>
      </c>
      <c r="E4" s="12">
        <v>0.02</v>
      </c>
      <c r="F4" s="12">
        <v>0.01</v>
      </c>
      <c r="G4" s="84">
        <f>18*10*10*10000</f>
        <v>18000000</v>
      </c>
      <c r="H4" s="13">
        <v>1.4E-2</v>
      </c>
      <c r="I4" s="13">
        <v>2E-3</v>
      </c>
      <c r="J4" s="12">
        <v>0.14000000000000001</v>
      </c>
      <c r="K4" s="26">
        <f>62%*Table24[[#This Row],[% of mice  non-parenchymal cells '[2']]]/($J$4+$J$5)</f>
        <v>0.135625</v>
      </c>
      <c r="L4" s="26">
        <f>4.6%*Table24[[#This Row],[% of mice  non-parenchymal cells '[2']]]/($J$4+$J$5)</f>
        <v>1.00625E-2</v>
      </c>
      <c r="M4" s="26"/>
      <c r="N4" s="26"/>
      <c r="O4" s="26"/>
      <c r="P4" s="22">
        <v>9.4568690095846827E-2</v>
      </c>
      <c r="Q4" s="22">
        <v>4.2811501597443929E-2</v>
      </c>
      <c r="V4" t="s">
        <v>14</v>
      </c>
      <c r="W4" t="s">
        <v>56</v>
      </c>
      <c r="X4" s="31" t="s">
        <v>126</v>
      </c>
    </row>
    <row r="5" spans="1:24">
      <c r="A5" s="4" t="s">
        <v>2</v>
      </c>
      <c r="B5" s="6" t="s">
        <v>12</v>
      </c>
      <c r="C5" s="6"/>
      <c r="D5" s="6"/>
      <c r="E5" s="6"/>
      <c r="F5" s="6"/>
      <c r="G5" s="6"/>
      <c r="H5" s="17">
        <v>2.8000000000000001E-2</v>
      </c>
      <c r="I5" s="17">
        <v>2E-3</v>
      </c>
      <c r="J5" s="12">
        <v>0.5</v>
      </c>
      <c r="K5" s="26">
        <f>62%*Table24[[#This Row],[% of mice  non-parenchymal cells '[2']]]/($J$4+$J$5)</f>
        <v>0.484375</v>
      </c>
      <c r="L5" s="26">
        <f>4.6%*Table24[[#This Row],[% of mice  non-parenchymal cells '[2']]]/($J$4+$J$5)</f>
        <v>3.5937499999999997E-2</v>
      </c>
      <c r="M5" s="26"/>
      <c r="N5" s="26"/>
      <c r="O5" s="26">
        <v>0.7</v>
      </c>
      <c r="P5" s="22">
        <v>0.29073482428114988</v>
      </c>
      <c r="Q5" s="22">
        <v>2.4920127795527582E-2</v>
      </c>
      <c r="V5" t="s">
        <v>67</v>
      </c>
      <c r="W5" t="s">
        <v>92</v>
      </c>
      <c r="X5" s="31" t="s">
        <v>127</v>
      </c>
    </row>
    <row r="6" spans="1:24">
      <c r="A6" s="4"/>
      <c r="B6" s="4"/>
      <c r="C6" s="4"/>
      <c r="D6" s="4"/>
      <c r="E6" s="4"/>
      <c r="F6" s="4"/>
      <c r="G6" s="4"/>
      <c r="H6" s="15"/>
      <c r="I6" s="15"/>
      <c r="J6" s="6"/>
      <c r="V6" t="s">
        <v>93</v>
      </c>
      <c r="W6" t="s">
        <v>94</v>
      </c>
      <c r="X6" s="31" t="s">
        <v>128</v>
      </c>
    </row>
    <row r="7" spans="1:24">
      <c r="A7" s="4"/>
      <c r="B7" s="4"/>
      <c r="C7" s="4"/>
      <c r="D7" s="4"/>
      <c r="E7" s="4"/>
      <c r="F7" s="4"/>
      <c r="G7" s="4"/>
      <c r="H7" s="4"/>
      <c r="I7" s="6"/>
      <c r="V7" t="s">
        <v>107</v>
      </c>
      <c r="W7" t="s">
        <v>102</v>
      </c>
      <c r="X7" s="31" t="s">
        <v>129</v>
      </c>
    </row>
    <row r="8" spans="1:24">
      <c r="A8" s="4"/>
      <c r="B8" s="4"/>
      <c r="C8" s="4"/>
      <c r="D8" s="4"/>
      <c r="E8" s="4"/>
      <c r="F8" s="4"/>
      <c r="G8" s="4"/>
      <c r="H8" s="4"/>
      <c r="I8" s="6"/>
      <c r="V8" t="s">
        <v>108</v>
      </c>
      <c r="W8" t="s">
        <v>101</v>
      </c>
      <c r="X8" s="31" t="s">
        <v>130</v>
      </c>
    </row>
    <row r="9" spans="1:24">
      <c r="B9" s="4"/>
      <c r="C9" s="4"/>
      <c r="D9" s="4"/>
      <c r="E9" s="4"/>
      <c r="F9" s="4"/>
      <c r="G9" s="4"/>
      <c r="H9" s="4"/>
    </row>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zoomScaleNormal="100" workbookViewId="0">
      <selection activeCell="D25" sqref="D25"/>
    </sheetView>
  </sheetViews>
  <sheetFormatPr defaultRowHeight="15"/>
  <cols>
    <col min="1" max="1" width="15.85546875" bestFit="1" customWidth="1"/>
    <col min="2" max="2" width="20.7109375" customWidth="1"/>
    <col min="3" max="3" width="23.42578125" customWidth="1"/>
    <col min="4" max="4" width="40" bestFit="1" customWidth="1"/>
    <col min="5" max="5" width="19.28515625" bestFit="1" customWidth="1"/>
    <col min="6" max="6" width="38.5703125" bestFit="1" customWidth="1"/>
  </cols>
  <sheetData>
    <row r="1" spans="1:13">
      <c r="A1" s="62" t="s">
        <v>0</v>
      </c>
      <c r="B1" s="62" t="s">
        <v>260</v>
      </c>
      <c r="C1" s="62" t="s">
        <v>261</v>
      </c>
      <c r="D1" s="62" t="s">
        <v>259</v>
      </c>
      <c r="E1" s="62" t="s">
        <v>15</v>
      </c>
      <c r="F1" s="65" t="s">
        <v>20</v>
      </c>
      <c r="L1" s="20" t="s">
        <v>21</v>
      </c>
    </row>
    <row r="2" spans="1:13">
      <c r="A2" s="83" t="s">
        <v>3</v>
      </c>
      <c r="B2" s="111">
        <f>ROUND(AVERAGE(191,376,407,453),-1)</f>
        <v>360</v>
      </c>
      <c r="C2" s="111">
        <f>ROUND(STDEV(191,376,407,453)/2,-1)</f>
        <v>60</v>
      </c>
      <c r="D2" s="112" t="s">
        <v>264</v>
      </c>
      <c r="E2" s="82" t="s">
        <v>257</v>
      </c>
      <c r="F2" s="82" t="s">
        <v>265</v>
      </c>
      <c r="G2" t="s">
        <v>195</v>
      </c>
      <c r="L2" t="s">
        <v>266</v>
      </c>
    </row>
    <row r="3" spans="1:13">
      <c r="A3" s="83" t="s">
        <v>4</v>
      </c>
      <c r="B3" s="114">
        <f>ROUND(6/24/0.06%,-2)</f>
        <v>400</v>
      </c>
      <c r="C3" s="114">
        <f>ROUND(Table2[[#This Row],[lifespan in rodent '[d']]]*(0.037/0.059),-1)</f>
        <v>250</v>
      </c>
      <c r="D3" s="112" t="s">
        <v>263</v>
      </c>
      <c r="E3" s="113" t="s">
        <v>258</v>
      </c>
      <c r="F3" s="82"/>
      <c r="L3" t="s">
        <v>267</v>
      </c>
    </row>
    <row r="4" spans="1:13">
      <c r="A4" s="83" t="s">
        <v>5</v>
      </c>
      <c r="B4" s="114">
        <f>ROUND(6/24/0.85%,-1)</f>
        <v>30</v>
      </c>
      <c r="C4" s="114">
        <f>ROUND(Table2[[#This Row],[lifespan in rodent '[d']]]*(0.49/0.85),-1)</f>
        <v>20</v>
      </c>
      <c r="D4" s="112" t="s">
        <v>263</v>
      </c>
      <c r="E4" s="113" t="s">
        <v>258</v>
      </c>
      <c r="F4" s="82" t="s">
        <v>262</v>
      </c>
      <c r="L4" t="s">
        <v>268</v>
      </c>
    </row>
    <row r="5" spans="1:13">
      <c r="A5" s="82"/>
      <c r="B5" s="82"/>
      <c r="C5" s="82"/>
      <c r="D5" s="82"/>
      <c r="E5" s="82"/>
      <c r="F5" s="82"/>
      <c r="I5" s="19"/>
      <c r="J5" s="19"/>
      <c r="K5" s="19"/>
      <c r="L5" s="115" t="s">
        <v>269</v>
      </c>
    </row>
    <row r="6" spans="1:13">
      <c r="A6" s="82"/>
      <c r="B6" s="82"/>
      <c r="C6" s="82"/>
      <c r="D6" s="82"/>
      <c r="E6" s="82"/>
      <c r="F6" s="82"/>
      <c r="I6" s="19"/>
      <c r="J6" s="19"/>
      <c r="K6" s="19"/>
      <c r="L6" s="115" t="s">
        <v>270</v>
      </c>
    </row>
    <row r="7" spans="1:13">
      <c r="A7" s="82"/>
      <c r="B7" s="82"/>
      <c r="C7" s="82"/>
      <c r="D7" s="82"/>
      <c r="E7" s="82"/>
      <c r="F7" s="82"/>
      <c r="I7" s="19"/>
      <c r="J7" s="19"/>
      <c r="K7" s="19"/>
      <c r="L7" s="115" t="s">
        <v>271</v>
      </c>
    </row>
    <row r="8" spans="1:13">
      <c r="A8" s="82"/>
      <c r="B8" s="82"/>
      <c r="C8" s="82"/>
      <c r="D8" s="82"/>
      <c r="E8" s="82"/>
      <c r="F8" s="82"/>
      <c r="I8" s="19"/>
      <c r="J8" s="19"/>
      <c r="K8" s="19"/>
      <c r="L8" s="19"/>
      <c r="M8" s="19"/>
    </row>
    <row r="9" spans="1:13">
      <c r="A9" s="82"/>
      <c r="B9" s="82"/>
      <c r="C9" s="82"/>
      <c r="D9" s="82"/>
      <c r="E9" s="82"/>
      <c r="F9" s="82"/>
      <c r="I9" s="19"/>
      <c r="J9" s="19"/>
      <c r="K9" s="19"/>
      <c r="L9" s="19"/>
      <c r="M9" s="19"/>
    </row>
    <row r="10" spans="1:13">
      <c r="A10" s="82"/>
      <c r="B10" s="82"/>
      <c r="C10" s="82"/>
      <c r="D10" s="82"/>
      <c r="E10" s="82"/>
      <c r="F10" s="82"/>
      <c r="I10" s="19"/>
      <c r="J10" s="19"/>
      <c r="K10" s="19"/>
      <c r="L10" s="19"/>
      <c r="M10" s="19"/>
    </row>
    <row r="11" spans="1:13">
      <c r="A11" s="82"/>
      <c r="B11" s="82"/>
      <c r="C11" s="82"/>
      <c r="D11" s="82"/>
      <c r="E11" s="82"/>
      <c r="F11" s="82"/>
      <c r="I11" s="19"/>
      <c r="J11" s="19"/>
      <c r="K11" s="19"/>
      <c r="L11" s="19"/>
      <c r="M11" s="19"/>
    </row>
    <row r="12" spans="1:13">
      <c r="A12" s="82"/>
      <c r="B12" s="82"/>
      <c r="C12" s="82"/>
      <c r="D12" s="82"/>
      <c r="E12" s="82"/>
      <c r="F12" s="82"/>
      <c r="I12" s="19"/>
      <c r="J12" s="19"/>
      <c r="K12" s="19"/>
      <c r="L12" s="19"/>
      <c r="M12" s="19"/>
    </row>
    <row r="13" spans="1:13">
      <c r="A13" s="82"/>
      <c r="B13" s="82"/>
      <c r="C13" s="82"/>
      <c r="D13" s="82"/>
      <c r="E13" s="82"/>
      <c r="F13" s="82"/>
      <c r="I13" s="19"/>
      <c r="J13" s="19"/>
      <c r="K13" s="19"/>
      <c r="L13" s="19"/>
      <c r="M13" s="19"/>
    </row>
    <row r="14" spans="1:13">
      <c r="A14" s="82"/>
      <c r="B14" s="82"/>
      <c r="C14" s="82"/>
      <c r="D14" s="82"/>
      <c r="E14" s="82"/>
      <c r="F14" s="82"/>
      <c r="I14" s="19"/>
      <c r="J14" s="19"/>
      <c r="K14" s="19"/>
      <c r="L14" s="19"/>
      <c r="M14" s="19"/>
    </row>
    <row r="15" spans="1:13">
      <c r="A15" s="82"/>
      <c r="B15" s="82"/>
      <c r="C15" s="82"/>
      <c r="D15" s="82"/>
      <c r="E15" s="82"/>
      <c r="F15" s="82"/>
      <c r="I15" s="19"/>
      <c r="J15" s="19"/>
      <c r="K15" s="19"/>
      <c r="L15" s="19"/>
    </row>
    <row r="16" spans="1:13">
      <c r="A16" s="82"/>
      <c r="B16" s="82"/>
      <c r="C16" s="82"/>
      <c r="D16" s="82"/>
      <c r="E16" s="82"/>
      <c r="F16" s="82"/>
      <c r="I16" s="19"/>
      <c r="J16" s="19"/>
      <c r="K16" s="19"/>
      <c r="L16" s="19"/>
    </row>
    <row r="17" spans="1:12">
      <c r="A17" s="82"/>
      <c r="B17" s="82"/>
      <c r="C17" s="82"/>
      <c r="D17" s="82"/>
      <c r="E17" s="82"/>
      <c r="F17" s="82"/>
      <c r="I17" s="19"/>
      <c r="J17" s="19"/>
      <c r="K17" s="19"/>
      <c r="L17" s="19"/>
    </row>
    <row r="18" spans="1:12">
      <c r="A18" s="82"/>
      <c r="B18" s="82"/>
      <c r="C18" s="82"/>
      <c r="D18" s="82"/>
      <c r="E18" s="82"/>
      <c r="F18" s="82"/>
    </row>
    <row r="19" spans="1:12">
      <c r="A19" s="82"/>
      <c r="B19" s="82"/>
      <c r="C19" s="82"/>
      <c r="D19" s="82"/>
      <c r="E19" s="82"/>
      <c r="F19" s="82"/>
    </row>
    <row r="20" spans="1:12">
      <c r="A20" s="82"/>
      <c r="B20" s="82"/>
      <c r="C20" s="82"/>
      <c r="D20" s="82"/>
      <c r="E20" s="82"/>
      <c r="F20" s="8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H9" sqref="H9"/>
    </sheetView>
  </sheetViews>
  <sheetFormatPr defaultRowHeight="15"/>
  <cols>
    <col min="1" max="1" width="17.42578125" customWidth="1"/>
    <col min="2" max="2" width="19.28515625" customWidth="1"/>
    <col min="3" max="3" width="20.140625" customWidth="1"/>
  </cols>
  <sheetData>
    <row r="1" spans="1:8" ht="35.25" customHeight="1">
      <c r="A1" s="83" t="s">
        <v>4</v>
      </c>
      <c r="B1" s="62" t="s">
        <v>99</v>
      </c>
      <c r="C1" s="65" t="s">
        <v>100</v>
      </c>
      <c r="H1" s="19" t="s">
        <v>15</v>
      </c>
    </row>
    <row r="2" spans="1:8">
      <c r="A2" s="83" t="s">
        <v>97</v>
      </c>
      <c r="B2" s="64">
        <v>11.8</v>
      </c>
      <c r="C2" s="59">
        <v>61.4</v>
      </c>
      <c r="H2" t="s">
        <v>134</v>
      </c>
    </row>
    <row r="3" spans="1:8">
      <c r="A3" s="83" t="s">
        <v>98</v>
      </c>
      <c r="B3" s="16">
        <v>9</v>
      </c>
      <c r="C3" s="60">
        <v>32</v>
      </c>
      <c r="H3" t="s">
        <v>133</v>
      </c>
    </row>
    <row r="6" spans="1:8">
      <c r="A6" s="82"/>
    </row>
    <row r="7" spans="1:8">
      <c r="A7" s="82"/>
    </row>
    <row r="8" spans="1:8">
      <c r="A8" s="82"/>
    </row>
    <row r="27" spans="3:3">
      <c r="C27" s="6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 sqref="C1"/>
    </sheetView>
  </sheetViews>
  <sheetFormatPr defaultRowHeight="15"/>
  <cols>
    <col min="1" max="1" width="20.28515625" customWidth="1"/>
  </cols>
  <sheetData>
    <row r="1" spans="1:2">
      <c r="A1" t="s">
        <v>63</v>
      </c>
      <c r="B1" t="s">
        <v>66</v>
      </c>
    </row>
    <row r="2" spans="1:2">
      <c r="A2" s="52">
        <v>2555.0898203592701</v>
      </c>
      <c r="B2" s="44">
        <f>LOG10(hep_vol[[#This Row],[heparocyte volume]])</f>
        <v>3.407406171711727</v>
      </c>
    </row>
    <row r="3" spans="1:2">
      <c r="A3" s="52">
        <v>2676.6467065868201</v>
      </c>
      <c r="B3" s="44">
        <f>LOG10(hep_vol[[#This Row],[heparocyte volume]])</f>
        <v>3.427591051984352</v>
      </c>
    </row>
    <row r="4" spans="1:2">
      <c r="A4" s="52">
        <v>2739.52095808382</v>
      </c>
      <c r="B4" s="44">
        <f>LOG10(hep_vol[[#This Row],[heparocyte volume]])</f>
        <v>3.4376746272548817</v>
      </c>
    </row>
    <row r="5" spans="1:2">
      <c r="A5" s="52">
        <v>2776.6467065868201</v>
      </c>
      <c r="B5" s="44">
        <f>LOG10(hep_vol[[#This Row],[heparocyte volume]])</f>
        <v>3.4435206247482202</v>
      </c>
    </row>
    <row r="6" spans="1:2">
      <c r="A6" s="52">
        <v>3094.0119760479001</v>
      </c>
      <c r="B6" s="44">
        <f>LOG10(hep_vol[[#This Row],[heparocyte volume]])</f>
        <v>3.490521990398078</v>
      </c>
    </row>
    <row r="7" spans="1:2">
      <c r="A7" s="52">
        <v>3920.95808383233</v>
      </c>
      <c r="B7" s="44">
        <f>LOG10(hep_vol[[#This Row],[heparocyte volume]])</f>
        <v>3.5933921995923201</v>
      </c>
    </row>
    <row r="8" spans="1:2">
      <c r="A8" s="52">
        <v>4249.7005988023902</v>
      </c>
      <c r="B8" s="44">
        <f>LOG10(hep_vol[[#This Row],[heparocyte volume]])</f>
        <v>3.628358334081303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C7" sqref="C7"/>
    </sheetView>
  </sheetViews>
  <sheetFormatPr defaultRowHeight="15"/>
  <cols>
    <col min="1" max="1" width="27" customWidth="1"/>
    <col min="2" max="2" width="20.28515625" customWidth="1"/>
    <col min="3" max="3" width="17.28515625" customWidth="1"/>
    <col min="4" max="4" width="12.5703125" customWidth="1"/>
    <col min="5" max="5" width="13.140625" bestFit="1" customWidth="1"/>
    <col min="6" max="7" width="13.140625" customWidth="1"/>
    <col min="8" max="8" width="14" customWidth="1"/>
    <col min="9" max="9" width="16.42578125" customWidth="1"/>
  </cols>
  <sheetData>
    <row r="1" spans="1:18" ht="51" customHeight="1">
      <c r="A1" s="1" t="s">
        <v>0</v>
      </c>
      <c r="B1" s="1" t="s">
        <v>30</v>
      </c>
      <c r="C1" s="2" t="s">
        <v>34</v>
      </c>
      <c r="D1" s="2" t="s">
        <v>35</v>
      </c>
      <c r="E1" s="2" t="s">
        <v>37</v>
      </c>
      <c r="F1" s="2" t="s">
        <v>36</v>
      </c>
      <c r="G1" s="2" t="s">
        <v>38</v>
      </c>
      <c r="H1" s="3" t="s">
        <v>32</v>
      </c>
      <c r="I1" s="3" t="s">
        <v>33</v>
      </c>
    </row>
    <row r="2" spans="1:18">
      <c r="A2" s="4" t="s">
        <v>3</v>
      </c>
      <c r="B2" s="41" t="s">
        <v>13</v>
      </c>
      <c r="C2" s="14">
        <v>0.79800000000000004</v>
      </c>
      <c r="D2" s="30">
        <f>STDEV(79.7%,82.5%,80.7%,76.3%)/SQRT(4)</f>
        <v>1.3025615788386609E-2</v>
      </c>
      <c r="E2" s="43">
        <v>0.86</v>
      </c>
      <c r="F2" s="43">
        <v>0.109</v>
      </c>
      <c r="G2" s="45">
        <f>(Table245[[#This Row],[puncture  biopsy nuclei distribution ]]/(1+Table245[[#This Row],[binucleated cells %]]))/((Table245[[#This Row],[puncture  biopsy nuclei distribution ]]/(1+Table245[[#This Row],[binucleated cells %]]))+E3)</f>
        <v>0.84707365600929807</v>
      </c>
      <c r="H2" s="46">
        <f>Table245[[#This Row],[puncture  biopsy cell distribution]]*Table245[[#Totals],[average number of cells per mg]]</f>
        <v>171108.87851387821</v>
      </c>
      <c r="I2" s="7">
        <f>Table245[[#This Row],[puncture  biopsy cell distribution]]*Table245[[#Totals],[SEM number of cells per mg]]</f>
        <v>9974.9570434099405</v>
      </c>
      <c r="M2">
        <f>Table245[[#Totals],[average number of cells per mg]]*Table245[[#This Row],[surgical biopsy distribution of cells]]</f>
        <v>161196</v>
      </c>
      <c r="O2" s="29"/>
      <c r="P2">
        <v>18</v>
      </c>
      <c r="Q2" s="55">
        <f>P2*1*1*1000</f>
        <v>18000</v>
      </c>
    </row>
    <row r="3" spans="1:18">
      <c r="A3" s="4" t="s">
        <v>29</v>
      </c>
      <c r="B3" s="4" t="s">
        <v>28</v>
      </c>
      <c r="C3" s="13">
        <v>0.16600000000000001</v>
      </c>
      <c r="D3" s="30">
        <f>STDEV(18.7%,12.7%,17%,17.8%)/SQRT(4)</f>
        <v>1.3294735800308368E-2</v>
      </c>
      <c r="E3" s="43">
        <v>0.14000000000000001</v>
      </c>
      <c r="F3" s="43">
        <v>0</v>
      </c>
      <c r="G3" s="45">
        <f>Table245[[#This Row],[puncture  biopsy nuclei distribution ]]/((E2/(1+F2))+Table245[[#This Row],[puncture  biopsy nuclei distribution ]])</f>
        <v>0.1529263439907019</v>
      </c>
      <c r="H3" s="46">
        <f>Table245[[#This Row],[puncture  biopsy cell distribution]]*Table245[[#Totals],[average number of cells per mg]]</f>
        <v>30891.121486121785</v>
      </c>
      <c r="I3" s="7">
        <f>Table245[[#This Row],[puncture  biopsy cell distribution]]*Table245[[#Totals],[SEM number of cells per mg]]</f>
        <v>1800.8277099532879</v>
      </c>
      <c r="M3">
        <f>Table245[[#Totals],[average number of cells per mg]]*Table245[[#This Row],[surgical biopsy distribution of cells]]</f>
        <v>33532</v>
      </c>
      <c r="O3" s="29"/>
    </row>
    <row r="4" spans="1:18">
      <c r="A4" s="4" t="s">
        <v>31</v>
      </c>
      <c r="B4" s="41" t="s">
        <v>41</v>
      </c>
      <c r="C4" s="13">
        <v>3.5999999999999997E-2</v>
      </c>
      <c r="D4" s="30">
        <f>STDEV(1.6%,4.8%,2.3%,5.9%)/SQRT(4)</f>
        <v>1.016939854006454E-2</v>
      </c>
      <c r="E4" s="43"/>
      <c r="F4" s="43"/>
      <c r="G4" s="43"/>
      <c r="H4" s="7"/>
      <c r="I4" s="7"/>
      <c r="M4">
        <f>Table245[[#Totals],[average number of cells per mg]]*Table245[[#This Row],[surgical biopsy distribution of cells]]</f>
        <v>7271.9999999999991</v>
      </c>
      <c r="O4" s="29"/>
    </row>
    <row r="5" spans="1:18">
      <c r="A5" s="24" t="s">
        <v>39</v>
      </c>
      <c r="B5" s="24"/>
      <c r="C5" s="42"/>
      <c r="D5" s="27"/>
      <c r="E5" s="42"/>
      <c r="F5" s="42"/>
      <c r="G5" s="42"/>
      <c r="H5" s="42" t="s">
        <v>40</v>
      </c>
      <c r="I5" s="7">
        <f>13000*Table245[[#Totals],[average number of cells per mg]]/223000</f>
        <v>11775.784753363228</v>
      </c>
    </row>
    <row r="6" spans="1:18">
      <c r="A6" s="24"/>
      <c r="B6" s="6"/>
      <c r="C6" s="17"/>
      <c r="D6" s="12"/>
    </row>
    <row r="14" spans="1:18">
      <c r="Q14" s="44"/>
      <c r="R14" s="30"/>
    </row>
    <row r="15" spans="1:18">
      <c r="R15" s="30"/>
    </row>
    <row r="16" spans="1:18">
      <c r="R16" s="30"/>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N33" sqref="N33"/>
    </sheetView>
  </sheetViews>
  <sheetFormatPr defaultRowHeight="15"/>
  <cols>
    <col min="5" max="5" width="16.7109375" bestFit="1" customWidth="1"/>
  </cols>
  <sheetData>
    <row r="1" spans="1:15">
      <c r="A1" s="6"/>
      <c r="B1" s="6"/>
      <c r="C1" s="9"/>
      <c r="D1" s="18"/>
    </row>
    <row r="2" spans="1:15">
      <c r="A2" s="6"/>
      <c r="B2" s="6"/>
      <c r="C2" s="9"/>
      <c r="D2" s="18"/>
    </row>
    <row r="3" spans="1:15">
      <c r="E3" s="29">
        <v>0.6</v>
      </c>
    </row>
    <row r="4" spans="1:15">
      <c r="E4" s="29">
        <f>(1-$E$3)*Cell_dist!J3</f>
        <v>9.2000000000000012E-2</v>
      </c>
      <c r="L4">
        <v>1800</v>
      </c>
    </row>
    <row r="5" spans="1:15">
      <c r="E5" s="29">
        <f>(1-$E$3)*Cell_dist!J4</f>
        <v>5.6000000000000008E-2</v>
      </c>
      <c r="K5" s="29">
        <v>0.6</v>
      </c>
      <c r="L5">
        <f>$L$4*Cell_dist!H2</f>
        <v>1400.4</v>
      </c>
      <c r="N5" s="21">
        <f>10^12*$L$5/$O$5</f>
        <v>285795918367.34692</v>
      </c>
      <c r="O5">
        <v>4900</v>
      </c>
    </row>
    <row r="6" spans="1:15">
      <c r="B6" t="s">
        <v>52</v>
      </c>
      <c r="E6" s="29">
        <f>(1-$E$3)*Cell_dist!J5</f>
        <v>0.2</v>
      </c>
      <c r="J6" s="21">
        <f>($L$4*Cell_dist!H3*$K$5*$O$5)/($L$5*$K6)</f>
        <v>793.57326478149093</v>
      </c>
      <c r="K6" s="29">
        <v>0.1</v>
      </c>
      <c r="L6">
        <f>$L$4*Cell_dist!H3</f>
        <v>37.800000000000004</v>
      </c>
      <c r="N6" s="21">
        <f>$N$5*$K6/$K$5</f>
        <v>47632653061.224495</v>
      </c>
      <c r="O6" s="52">
        <f>10^12*L6/N6</f>
        <v>793.57326478149105</v>
      </c>
    </row>
    <row r="7" spans="1:15">
      <c r="A7">
        <v>7.6</v>
      </c>
      <c r="B7" s="22">
        <f>A7/SUM($A$7:$A$10)</f>
        <v>0.86857142857142855</v>
      </c>
      <c r="E7" s="29"/>
      <c r="J7" s="21">
        <f>(L7*$K$5*$O$5)/($L$5*$K7)</f>
        <v>2645.2442159383031</v>
      </c>
      <c r="K7" s="29">
        <v>0.02</v>
      </c>
      <c r="L7">
        <f>$L$4*Cell_dist!H4</f>
        <v>25.2</v>
      </c>
      <c r="N7" s="21">
        <f>$N$5*K7/$K$5</f>
        <v>9526530612.2448978</v>
      </c>
      <c r="O7" s="52">
        <f>10^12*L7/N7</f>
        <v>2645.2442159383036</v>
      </c>
    </row>
    <row r="8" spans="1:15">
      <c r="A8">
        <v>0.46</v>
      </c>
      <c r="B8" s="22">
        <f>A8/SUM($A$7:$A$10)</f>
        <v>5.2571428571428575E-2</v>
      </c>
      <c r="K8" s="29">
        <v>0.28000000000000003</v>
      </c>
      <c r="L8">
        <f>$L$4*Cell_dist!H5</f>
        <v>50.4</v>
      </c>
      <c r="N8" s="21">
        <f>$N$5*K8/$K$5</f>
        <v>133371428571.42859</v>
      </c>
      <c r="O8" s="52">
        <f>10^12*L8/N8</f>
        <v>377.892030848329</v>
      </c>
    </row>
    <row r="9" spans="1:15">
      <c r="A9">
        <v>0.4</v>
      </c>
      <c r="B9" s="22">
        <f>A9/SUM($A$7:$A$10)</f>
        <v>4.5714285714285714E-2</v>
      </c>
      <c r="J9" s="18"/>
    </row>
    <row r="10" spans="1:15">
      <c r="A10">
        <v>0.28999999999999998</v>
      </c>
      <c r="B10" s="22">
        <f>A10/SUM($A$7:$A$10)</f>
        <v>3.3142857142857141E-2</v>
      </c>
    </row>
    <row r="18" spans="4:10">
      <c r="D18" t="s">
        <v>53</v>
      </c>
      <c r="E18" s="44">
        <f>4/PI()</f>
        <v>1.2732395447351628</v>
      </c>
      <c r="I18">
        <v>11.8</v>
      </c>
      <c r="J18">
        <v>9</v>
      </c>
    </row>
    <row r="19" spans="4:10">
      <c r="D19" t="s">
        <v>54</v>
      </c>
      <c r="E19" s="44">
        <f>8/(4*PI()/3)</f>
        <v>1.9098593171027443</v>
      </c>
      <c r="I19">
        <f>PI()*(I18/2)^2</f>
        <v>109.35884027146071</v>
      </c>
      <c r="J19">
        <f>PI()*(J18/2)^2</f>
        <v>63.617251235193308</v>
      </c>
    </row>
    <row r="20" spans="4:10">
      <c r="I20">
        <v>61.4</v>
      </c>
      <c r="J20">
        <v>32</v>
      </c>
    </row>
    <row r="21" spans="4:10">
      <c r="E21">
        <f>E19/E18</f>
        <v>1.5</v>
      </c>
      <c r="G21">
        <f>I21^1.5</f>
        <v>2.3769951043392159</v>
      </c>
      <c r="I21">
        <f>I19/I20</f>
        <v>1.7810886037697184</v>
      </c>
      <c r="J21">
        <f>J19/J20</f>
        <v>1.9880391010997909</v>
      </c>
    </row>
    <row r="23" spans="4:10">
      <c r="E23" s="56">
        <f>E18^1.5</f>
        <v>1.4366969770013327</v>
      </c>
      <c r="G23">
        <f>I23/G21</f>
        <v>361.92314485560422</v>
      </c>
      <c r="I23">
        <f>4*PI()/3*(I18/2)^3</f>
        <v>860.28954346882415</v>
      </c>
      <c r="J23">
        <f>4*PI()/3*(J18/2)^3</f>
        <v>381.70350741115982</v>
      </c>
    </row>
    <row r="26" spans="4:10">
      <c r="I26">
        <f>I23/(I21*1.5)</f>
        <v>322.00888888888881</v>
      </c>
      <c r="J26">
        <f>J23/(J21*1.5)</f>
        <v>127.99999999999999</v>
      </c>
    </row>
    <row r="27" spans="4:10">
      <c r="I27" s="44"/>
      <c r="J27" s="44"/>
    </row>
    <row r="36" spans="10:19">
      <c r="J36" s="11" t="s">
        <v>111</v>
      </c>
      <c r="K36" s="8"/>
      <c r="L36" s="8"/>
      <c r="M36" s="8">
        <v>3500</v>
      </c>
      <c r="N36" s="61">
        <v>0</v>
      </c>
      <c r="O36" s="50">
        <v>240000000</v>
      </c>
      <c r="P36" s="8">
        <v>0</v>
      </c>
      <c r="Q36" s="61"/>
      <c r="R36" s="61"/>
      <c r="S36" s="68"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Human_hepatocytes</vt:lpstr>
      <vt:lpstr>Total_cell_mass_data</vt:lpstr>
      <vt:lpstr>Rodent_nuclei_density</vt:lpstr>
      <vt:lpstr>Cell_dist</vt:lpstr>
      <vt:lpstr>Lifespan_rodents</vt:lpstr>
      <vt:lpstr>Kupffer_cells_size</vt:lpstr>
      <vt:lpstr>Wiśniewski et al., 2016</vt:lpstr>
      <vt:lpstr>Gates et al., 1961</vt:lpstr>
      <vt:lpstr>Sheet3</vt:lpstr>
      <vt:lpstr>King et al., 1998</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2019-10-24T13:20:21Z</dcterms:modified>
</cp:coreProperties>
</file>