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xr:revisionPtr revIDLastSave="0" documentId="13_ncr:1_{5D96C349-7867-4B1A-9F86-AA98DB611380}" xr6:coauthVersionLast="45" xr6:coauthVersionMax="45" xr10:uidLastSave="{00000000-0000-0000-0000-000000000000}"/>
  <bookViews>
    <workbookView xWindow="-110" yWindow="-110" windowWidth="19420" windowHeight="10420" activeTab="6" xr2:uid="{00000000-000D-0000-FFFF-FFFF00000000}"/>
  </bookViews>
  <sheets>
    <sheet name="Cell_number" sheetId="1" r:id="rId1"/>
    <sheet name="Cellular_volume" sheetId="2" r:id="rId2"/>
    <sheet name="Bronchi_epithelial_volume" sheetId="3" r:id="rId3"/>
    <sheet name="Macrophages_turnover" sheetId="4" r:id="rId4"/>
    <sheet name="Bronchi_turnover" sheetId="5" r:id="rId5"/>
    <sheet name="Cell_cycle_times" sheetId="6" r:id="rId6"/>
    <sheet name="Mice_turnover"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3" i="6" l="1"/>
  <c r="G22" i="6"/>
  <c r="F4" i="5"/>
  <c r="F2" i="5"/>
  <c r="B8" i="4"/>
  <c r="F6" i="4" l="1"/>
  <c r="R32" i="1" l="1"/>
  <c r="R33" i="1" s="1"/>
  <c r="P25" i="1"/>
  <c r="P26" i="1" s="1"/>
  <c r="P22" i="1"/>
  <c r="K31" i="1"/>
  <c r="K32" i="1" s="1"/>
  <c r="J29" i="1"/>
  <c r="J27" i="1"/>
  <c r="E9" i="3" l="1"/>
  <c r="E8" i="3"/>
  <c r="E7" i="3"/>
  <c r="E6" i="3"/>
  <c r="E5" i="3"/>
  <c r="E4" i="3"/>
  <c r="E3" i="3"/>
  <c r="E2" i="3"/>
  <c r="F2" i="3" s="1"/>
  <c r="D6" i="1"/>
  <c r="D5" i="1"/>
  <c r="D4" i="1"/>
  <c r="D3" i="1"/>
  <c r="D2" i="1"/>
  <c r="C6" i="1"/>
  <c r="C5" i="1"/>
  <c r="C4" i="1"/>
  <c r="C3" i="1"/>
  <c r="C2" i="1"/>
  <c r="H8" i="1"/>
  <c r="H7" i="1"/>
  <c r="F6" i="1"/>
  <c r="F4" i="1"/>
  <c r="F5" i="1"/>
  <c r="F3" i="1"/>
  <c r="F2" i="1"/>
  <c r="M3" i="1"/>
  <c r="M4" i="1" s="1"/>
  <c r="M5" i="1" s="1"/>
  <c r="M6" i="1" s="1"/>
  <c r="M7" i="1" s="1"/>
  <c r="M8" i="1" s="1"/>
  <c r="E6" i="1"/>
  <c r="E5" i="1"/>
  <c r="E4" i="1"/>
  <c r="E3" i="1"/>
  <c r="E2" i="1"/>
  <c r="F5" i="3" l="1"/>
  <c r="F9" i="3"/>
  <c r="F6" i="3"/>
  <c r="F4" i="3"/>
  <c r="F8" i="3"/>
  <c r="F7" i="3"/>
  <c r="F11" i="3"/>
  <c r="F3" i="3"/>
  <c r="C15" i="3" s="1"/>
  <c r="H7" i="2" s="1"/>
  <c r="F10" i="3"/>
  <c r="C12" i="3" l="1"/>
  <c r="B15" i="3"/>
  <c r="G7" i="2" s="1"/>
  <c r="D12" i="3"/>
  <c r="C16" i="3"/>
  <c r="H8" i="2" s="1"/>
  <c r="B16" i="3"/>
  <c r="G8" i="2" s="1"/>
</calcChain>
</file>

<file path=xl/sharedStrings.xml><?xml version="1.0" encoding="utf-8"?>
<sst xmlns="http://schemas.openxmlformats.org/spreadsheetml/2006/main" count="228" uniqueCount="128">
  <si>
    <t>cells</t>
  </si>
  <si>
    <t>Alveolar Type I</t>
  </si>
  <si>
    <t>Alveolar Type II</t>
  </si>
  <si>
    <t>Macrophage</t>
  </si>
  <si>
    <t>Bronchi epithelia</t>
  </si>
  <si>
    <t>Bronchioles epithelia</t>
  </si>
  <si>
    <t>#</t>
  </si>
  <si>
    <t>source</t>
  </si>
  <si>
    <t>[1]</t>
  </si>
  <si>
    <t>Bianconi E, Piovesan A, Facchin F, Beraudi A, Casadei R, Frabetti F, et al. An estimation of the number of cells in the human body. Ann Hum Biol 2013;40:463–71. doi:10.3109/03014460.2013.807878.</t>
  </si>
  <si>
    <t xml:space="preserve">	Crapo JD, Barry BE, Gehr P, Bachofen M, Weibel ER. Cell number and cell characteristics of the normal human lung. Am Rev Respir Dis 1982;125:740–5. doi:10.1164/arrd.1982.125.6.740.</t>
  </si>
  <si>
    <t>Stone KC, Mercer RR, Gehr P, Stockstill B, Crapo JD. Allometric relationships of cell numbers and size in the mammalian lung. Am J Respir Cell Mol Biol 1992;6:235–43. doi:10.1165/ajrcmb/6.2.235.</t>
  </si>
  <si>
    <t>Mercer RR, Russell ML, Roggli VL, Crapo JD. Cell number and distribution in human and rat airways. Am J Respir Cell Mol Biol 1994;10:613–24.</t>
  </si>
  <si>
    <t>Shorter RG, Titus JL, Divertie MB. Cell Turnover in the Respiratory Tract. Dis Chest 1964;46:138–42. doi:10.1378/chest.46.2.138</t>
  </si>
  <si>
    <t>Bowden DH. Cell Turnover in the Lung. Am Rev Respir Dis 1983;128:S46-8.</t>
  </si>
  <si>
    <t>Ayers MM, Jeffery PK. Proliferation and differentiation in mammalian airway epithelium. Eur Respir J 1988;1:58–80.</t>
  </si>
  <si>
    <t>number of cell (Crapo et al., 1982)</t>
  </si>
  <si>
    <t>number of cell (Stone et al., 1992)</t>
  </si>
  <si>
    <t>Mercer et al., 1994</t>
  </si>
  <si>
    <t>number of cell (Mercer et al., 1994)</t>
  </si>
  <si>
    <t>SEM of cells (Stone et al., 1992)</t>
  </si>
  <si>
    <t>SEM of cells (Crapo et al., 1982)</t>
  </si>
  <si>
    <t>Interstitial cells</t>
  </si>
  <si>
    <t>Endothelial cells</t>
  </si>
  <si>
    <t>SEM of cells (Mercer et al., 1994)</t>
  </si>
  <si>
    <t>Alveolar epithelial cells</t>
  </si>
  <si>
    <t>cell type</t>
  </si>
  <si>
    <t>volume [fl] (Crapo et al., 1982)</t>
  </si>
  <si>
    <t>SEM of volume [fl] (Crapo et al., 1982)</t>
  </si>
  <si>
    <t>SEM of volume [fl] (Mercer et al., 1994)</t>
  </si>
  <si>
    <t>SEM of volume [fl] (Stone et al., 1992)</t>
  </si>
  <si>
    <t>volume [fl] (Stone et al., 1992)</t>
  </si>
  <si>
    <t>volume [fl] (Mercer et al., 1994)</t>
  </si>
  <si>
    <t>Basal</t>
  </si>
  <si>
    <t>Goblet</t>
  </si>
  <si>
    <t>Other Secretory</t>
  </si>
  <si>
    <t>Ciliated</t>
  </si>
  <si>
    <t>airway size</t>
  </si>
  <si>
    <t>cell  subtype</t>
  </si>
  <si>
    <t>volume [fl]</t>
  </si>
  <si>
    <t>SD [fl]</t>
  </si>
  <si>
    <t>number</t>
  </si>
  <si>
    <t>%</t>
  </si>
  <si>
    <t>airway</t>
  </si>
  <si>
    <t>average</t>
  </si>
  <si>
    <t>Bronchi 3-5mm</t>
  </si>
  <si>
    <t>Bronchi 1-3mm</t>
  </si>
  <si>
    <t>Bronchioles 0.4-1mm</t>
  </si>
  <si>
    <t xml:space="preserve">Bronchi </t>
  </si>
  <si>
    <t>Bronchioles</t>
  </si>
  <si>
    <t>TC</t>
  </si>
  <si>
    <t>Tc</t>
  </si>
  <si>
    <t>parameter</t>
  </si>
  <si>
    <t>value</t>
  </si>
  <si>
    <t>units</t>
  </si>
  <si>
    <t>SD</t>
  </si>
  <si>
    <t>comment</t>
  </si>
  <si>
    <t>macrophage cell cycle</t>
  </si>
  <si>
    <t>h</t>
  </si>
  <si>
    <t>Kueh et al., 2013</t>
  </si>
  <si>
    <t>early macrophage cell cycle</t>
  </si>
  <si>
    <t>Uebelhoer et al., 1995</t>
  </si>
  <si>
    <t>alveolar macrophages Ki-67 LI</t>
  </si>
  <si>
    <t>marker for proliferation , in the control group</t>
  </si>
  <si>
    <t>N</t>
  </si>
  <si>
    <t>SEM</t>
  </si>
  <si>
    <t>Pforte et al., 1993</t>
  </si>
  <si>
    <t>AM % out of lung macrophages</t>
  </si>
  <si>
    <t>IM % out of lung macrophages</t>
  </si>
  <si>
    <t>based on rhesus macaques</t>
  </si>
  <si>
    <t>Cai et al., 2014</t>
  </si>
  <si>
    <t>BrdU+ labeled AM after 2 days</t>
  </si>
  <si>
    <t>labeles monocyes in rhesus macaques</t>
  </si>
  <si>
    <t>Askew et al., 2017</t>
  </si>
  <si>
    <t>taken from mice, SD given as mutlplication factor of 95% confident inderval</t>
  </si>
  <si>
    <t>measured in mice microglia, no SD was given. We took a mutlplication factor of 1 to represent it</t>
  </si>
  <si>
    <t>BrdU+ labeled IM after 2 days</t>
  </si>
  <si>
    <t>Boers et al., 1998</t>
  </si>
  <si>
    <t>bronchi epithel LI</t>
  </si>
  <si>
    <t>Boers et al., 1999</t>
  </si>
  <si>
    <t>Boers et al., 1996</t>
  </si>
  <si>
    <t>cell</t>
  </si>
  <si>
    <t>in vivo/vitro</t>
  </si>
  <si>
    <t>Baserga, 1985</t>
  </si>
  <si>
    <t>HeLa</t>
  </si>
  <si>
    <t>in vitro</t>
  </si>
  <si>
    <t>TG1</t>
  </si>
  <si>
    <t>TS</t>
  </si>
  <si>
    <t>dioploid fibroblast</t>
  </si>
  <si>
    <t>KB cells</t>
  </si>
  <si>
    <t>T(G2+M)</t>
  </si>
  <si>
    <t>human amnion cells</t>
  </si>
  <si>
    <t>NIH3T3</t>
  </si>
  <si>
    <t>NCI-H292</t>
  </si>
  <si>
    <t>Hahn et al., 2009</t>
  </si>
  <si>
    <t>in vivo</t>
  </si>
  <si>
    <t>colon epithelial cells</t>
  </si>
  <si>
    <t>rectum epithelial cells</t>
  </si>
  <si>
    <t>stomach epithelial cells</t>
  </si>
  <si>
    <t>bone marrow cells</t>
  </si>
  <si>
    <t>everything in hours</t>
  </si>
  <si>
    <t>macrophage</t>
  </si>
  <si>
    <t>early macrophage</t>
  </si>
  <si>
    <t>Uebelhoer M, Bewig B, Sternberg K, Rabe K, Nowak D, Magnussen H, et al. Alveolar macrophages from bronchoalveolar lavage of patients with pulmonary histiocytosis X: Determination of phenotypic and functional changes. Lung. 1995;173: 187–195. doi:10.1007/BF00175659</t>
  </si>
  <si>
    <t xml:space="preserve">Pforte A, Gerth C, Voss A, Beer B, Haussinger K, Jutting U, et al. Proliferating alveolar macrophages in BAL and lung function changes in interstitial lung disease. Eur Respir J. 1993;6: 951–955. </t>
  </si>
  <si>
    <t>Cai Y, Sugimoto C, Arainga M, Alvarez X, Didier ES, Kuroda MJ. In Vivo Characterization of Alveolar and Interstitial Lung Macrophages in Rhesus Macaques: Implications for Understanding Lung Disease in Humans. J Immunol. 2014;192: 2821–2829. doi:10.4049/jimmunol.1302269</t>
  </si>
  <si>
    <t>Kueh HY, Champhekhar A, Nutt SL, Elowitz MB, Rothenberg E V. Positive feedback between PU.1 and the cell cycle controls myeloid differentiation. Science (80- ). 2013;341: 670–673. doi:10.1126/science.1240831</t>
  </si>
  <si>
    <t>Askew K, Li K, Olmos-Alonso A, Garcia-Moreno F, Liang Y, Richardson P, et al. Coupled Proliferation and Apoptosis Maintain the Rapid Turnover of Microglia in the Adult Brain. Cell Rep. 2017;18: 391–405. doi:10.1016/j.celrep.2016.12.041</t>
  </si>
  <si>
    <t xml:space="preserve">Baserga R. The Biology of Cell Reproduction. Harvard University Press; 1985. </t>
  </si>
  <si>
    <t>Hahn AT, Jones JT, Meyer T. Quantitative analysis of cell cycle phase durations and PC12 differentiation using fluorescent biosensors. Cell Cycle. 2009;8: 1044–1052. doi:10.4161/cc.8.7.8042</t>
  </si>
  <si>
    <t xml:space="preserve">Boers JE, Ambergen AW, Thunnissen FBJM. Number and Proliferation of Basal and Parabasal Cells in Normal Human Airway Epithelium. Am J Respir Crit Care Med. 1998;157: 2000–2006. </t>
  </si>
  <si>
    <t>Boers JE, Ambergen AW, Thunnissen FBJM. Number and proliferation of Clara cells in normal human airway epithelium. Am J Respir Crit Care Med. 1999;159: 1585–1591. doi:10.1164/ajrccm.159.5.9806044</t>
  </si>
  <si>
    <t xml:space="preserve">Boers JE, den Brok, J. LM, Koudstaal J, Arends JW, Thunnissen FBJM. Number and Proliferation of Neuroendocrine Cells In Normal Human Airway Epithelium. Am J Respir Crit Care Med. 1996;154: 758–63. </t>
  </si>
  <si>
    <t>sources</t>
  </si>
  <si>
    <t>bronchi epithel LI, measured by MIB-1 marker for proliferation label Ki-67 protein ,average on airways of all diameter</t>
  </si>
  <si>
    <t>lifespan [d]</t>
  </si>
  <si>
    <t>Bowden, 1983, Shorter et al., 1964</t>
  </si>
  <si>
    <t>alveolar epithelial cells</t>
  </si>
  <si>
    <t>based on thymide labeling experiments from the 60's</t>
  </si>
  <si>
    <t>Seyed-Razavi Y, Williams B, Winkler DA, Bertoncello I. Mesenchymal stromal cell turnover in the normal adult lung revisited. Am J Physiol - Lung Cell Mol Physiol. 2013;305: 635–641. doi:10.1152/ajplung.00092.2013</t>
  </si>
  <si>
    <t>Shorter RG, Titus JL, Divertie MB. Cell Turnover in the Respiratory Tract. Dis Chest. 1964;46: 138–42. doi:10.1378/chest.46.2.138</t>
  </si>
  <si>
    <t>Bowden DH. Cell Turnover in the Lung. Am Rev Respir Dis. 1983;128: S46-8</t>
  </si>
  <si>
    <t>Seyed-Razavi et al., 2013</t>
  </si>
  <si>
    <t>endothelial cells</t>
  </si>
  <si>
    <t>bronchial epithelial cells</t>
  </si>
  <si>
    <t>alveolar macrophages</t>
  </si>
  <si>
    <t>lung interstitial cells</t>
  </si>
  <si>
    <t>In the source - Mesenchymal stromal cell.  We identified them as interstitial cells. Were labeled with BrdU+. No SD was given we take a factor of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</si>
</sst>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E+00"/>
    <numFmt numFmtId="165" formatCode="0E+00"/>
    <numFmt numFmtId="166" formatCode="0.0"/>
    <numFmt numFmtId="167" formatCode="0.0%"/>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0"/>
      <name val="Calibri"/>
      <family val="2"/>
      <charset val="177"/>
      <scheme val="minor"/>
    </font>
    <font>
      <sz val="11"/>
      <color theme="0" tint="-0.34998626667073579"/>
      <name val="Calibri"/>
      <family val="2"/>
      <charset val="177"/>
      <scheme val="minor"/>
    </font>
    <font>
      <b/>
      <sz val="11"/>
      <color theme="1"/>
      <name val="Calibri"/>
      <family val="2"/>
      <charset val="177"/>
      <scheme val="minor"/>
    </font>
    <font>
      <sz val="11"/>
      <color theme="1"/>
      <name val="Calibri"/>
      <family val="2"/>
      <charset val="177"/>
    </font>
    <font>
      <b/>
      <sz val="11"/>
      <color theme="1"/>
      <name val="Calibri"/>
      <family val="2"/>
      <scheme val="minor"/>
    </font>
    <font>
      <b/>
      <u/>
      <sz val="11"/>
      <color theme="1"/>
      <name val="Calibri"/>
      <family val="2"/>
      <scheme val="minor"/>
    </font>
    <font>
      <sz val="11"/>
      <color theme="1"/>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49">
    <xf numFmtId="0" fontId="0" fillId="0" borderId="0" xfId="0"/>
    <xf numFmtId="0" fontId="3" fillId="2" borderId="1" xfId="0" applyFont="1" applyFill="1" applyBorder="1" applyAlignment="1">
      <alignment horizontal="center" vertical="center"/>
    </xf>
    <xf numFmtId="0" fontId="0" fillId="3" borderId="1" xfId="0" applyFont="1" applyFill="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0" fillId="0" borderId="2" xfId="0" applyFont="1" applyBorder="1"/>
    <xf numFmtId="0" fontId="0" fillId="0" borderId="0" xfId="0" applyAlignment="1">
      <alignment horizontal="center" vertical="center"/>
    </xf>
    <xf numFmtId="0" fontId="1" fillId="0" borderId="0" xfId="0" applyFont="1"/>
    <xf numFmtId="0" fontId="1" fillId="0" borderId="0" xfId="0" applyFont="1" applyAlignment="1">
      <alignment horizontal="left" vertical="center"/>
    </xf>
    <xf numFmtId="164"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164" fontId="6" fillId="0" borderId="0" xfId="0" applyNumberFormat="1" applyFont="1" applyFill="1" applyBorder="1" applyAlignment="1">
      <alignment horizontal="center" vertical="center"/>
    </xf>
    <xf numFmtId="164" fontId="5" fillId="0" borderId="0" xfId="0" applyNumberFormat="1" applyFont="1" applyFill="1" applyBorder="1" applyAlignment="1">
      <alignment horizontal="center" vertical="center"/>
    </xf>
    <xf numFmtId="0" fontId="0" fillId="0" borderId="0" xfId="0" applyFill="1" applyBorder="1"/>
    <xf numFmtId="0" fontId="0" fillId="0" borderId="0" xfId="0" applyFont="1" applyFill="1" applyBorder="1"/>
    <xf numFmtId="164" fontId="4" fillId="0" borderId="0" xfId="0" applyNumberFormat="1" applyFont="1" applyFill="1" applyBorder="1" applyAlignment="1">
      <alignment horizontal="center" vertical="center"/>
    </xf>
    <xf numFmtId="0" fontId="5" fillId="0" borderId="0" xfId="0" applyFont="1" applyFill="1" applyBorder="1"/>
    <xf numFmtId="0" fontId="5" fillId="0" borderId="0" xfId="0" applyFont="1" applyFill="1" applyBorder="1" applyAlignment="1">
      <alignment horizontal="center" vertical="center"/>
    </xf>
    <xf numFmtId="0" fontId="2" fillId="2" borderId="1" xfId="0" applyFont="1" applyFill="1" applyBorder="1"/>
    <xf numFmtId="164" fontId="0" fillId="0" borderId="0" xfId="0" applyNumberFormat="1" applyFont="1" applyFill="1" applyAlignment="1">
      <alignment horizontal="center" vertical="center"/>
    </xf>
    <xf numFmtId="0" fontId="3" fillId="0" borderId="0" xfId="0" applyFont="1" applyFill="1" applyBorder="1" applyAlignment="1">
      <alignment wrapText="1"/>
    </xf>
    <xf numFmtId="0" fontId="3"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1" fontId="0" fillId="0" borderId="0" xfId="0" applyNumberFormat="1"/>
    <xf numFmtId="1" fontId="0" fillId="0" borderId="0" xfId="0" applyNumberFormat="1" applyAlignment="1">
      <alignment horizontal="center" vertical="center"/>
    </xf>
    <xf numFmtId="9" fontId="0" fillId="0" borderId="0" xfId="1" applyFont="1"/>
    <xf numFmtId="9" fontId="0" fillId="0" borderId="0" xfId="0" applyNumberFormat="1"/>
    <xf numFmtId="166" fontId="0" fillId="0" borderId="0" xfId="0" applyNumberFormat="1" applyAlignment="1">
      <alignment horizontal="center" vertical="center"/>
    </xf>
    <xf numFmtId="1" fontId="0" fillId="0" borderId="0" xfId="0" applyNumberFormat="1" applyFont="1" applyFill="1" applyBorder="1" applyAlignment="1">
      <alignment horizontal="center" vertical="center"/>
    </xf>
    <xf numFmtId="1" fontId="4" fillId="0" borderId="0" xfId="0" applyNumberFormat="1" applyFont="1" applyFill="1" applyBorder="1" applyAlignment="1">
      <alignment horizontal="center" vertical="center"/>
    </xf>
    <xf numFmtId="1" fontId="0" fillId="0" borderId="0" xfId="0" applyNumberFormat="1" applyFont="1" applyFill="1" applyAlignment="1">
      <alignment horizontal="center" vertical="center"/>
    </xf>
    <xf numFmtId="1" fontId="6" fillId="0" borderId="0" xfId="0" applyNumberFormat="1" applyFont="1" applyFill="1" applyBorder="1" applyAlignment="1">
      <alignment horizontal="center" vertical="center"/>
    </xf>
    <xf numFmtId="0" fontId="0" fillId="3" borderId="1" xfId="0" applyFont="1" applyFill="1" applyBorder="1"/>
    <xf numFmtId="0" fontId="0" fillId="0" borderId="1" xfId="0" applyFont="1" applyBorder="1"/>
    <xf numFmtId="10" fontId="0" fillId="0" borderId="0" xfId="0" applyNumberFormat="1"/>
    <xf numFmtId="0" fontId="8" fillId="0" borderId="0" xfId="0" applyFont="1"/>
    <xf numFmtId="0" fontId="9" fillId="0" borderId="0" xfId="0" applyFont="1" applyBorder="1" applyAlignment="1">
      <alignment horizontal="left" vertical="center"/>
    </xf>
    <xf numFmtId="0" fontId="0" fillId="0" borderId="0" xfId="0" applyNumberFormat="1"/>
    <xf numFmtId="0" fontId="0" fillId="0" borderId="0" xfId="0" quotePrefix="1" applyNumberFormat="1"/>
    <xf numFmtId="167" fontId="0" fillId="0" borderId="0" xfId="1" applyNumberFormat="1" applyFont="1"/>
    <xf numFmtId="166" fontId="0" fillId="0" borderId="0" xfId="0" applyNumberFormat="1"/>
    <xf numFmtId="10" fontId="0" fillId="0" borderId="0" xfId="1" applyNumberFormat="1" applyFont="1"/>
    <xf numFmtId="167" fontId="0" fillId="0" borderId="0" xfId="0" applyNumberFormat="1"/>
    <xf numFmtId="10" fontId="0" fillId="0" borderId="0" xfId="0" quotePrefix="1" applyNumberFormat="1"/>
    <xf numFmtId="0" fontId="0" fillId="0" borderId="0" xfId="0" applyAlignment="1">
      <alignment horizontal="left" vertical="center"/>
    </xf>
    <xf numFmtId="0" fontId="7" fillId="0" borderId="0" xfId="0" applyFont="1"/>
    <xf numFmtId="0" fontId="0" fillId="0" borderId="0" xfId="1" applyNumberFormat="1" applyFont="1"/>
    <xf numFmtId="166" fontId="0" fillId="0" borderId="0" xfId="1" applyNumberFormat="1" applyFont="1"/>
    <xf numFmtId="2" fontId="0" fillId="0" borderId="0" xfId="0" applyNumberFormat="1"/>
  </cellXfs>
  <cellStyles count="2">
    <cellStyle name="Normal" xfId="0" builtinId="0"/>
    <cellStyle name="Percent" xfId="1" builtinId="5"/>
  </cellStyles>
  <dxfs count="27">
    <dxf>
      <numFmt numFmtId="1" formatCode="0"/>
    </dxf>
    <dxf>
      <numFmt numFmtId="1" formatCode="0"/>
    </dxf>
    <dxf>
      <numFmt numFmtId="13" formatCode="0%"/>
    </dxf>
    <dxf>
      <numFmt numFmtId="166" formatCode="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border outline="0">
        <left style="thin">
          <color theme="4" tint="0.3999755851924192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טבלה9" displayName="טבלה9" ref="M1:N8" totalsRowShown="0" tableBorderDxfId="26">
  <autoFilter ref="M1:N8" xr:uid="{00000000-0009-0000-0100-000001000000}"/>
  <tableColumns count="2">
    <tableColumn id="1" xr3:uid="{00000000-0010-0000-0000-000001000000}" name="#">
      <calculatedColumnFormula>"["  &amp; VALUE(MID(M1,2,LEN(M1)-2))+1 &amp; "]"</calculatedColumnFormula>
    </tableColumn>
    <tableColumn id="2" xr3:uid="{00000000-0010-0000-0000-000002000000}" name="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8" totalsRowShown="0" headerRowDxfId="25" dataDxfId="24">
  <autoFilter ref="A1:H8" xr:uid="{00000000-0009-0000-0100-000002000000}"/>
  <tableColumns count="8">
    <tableColumn id="1" xr3:uid="{00000000-0010-0000-0100-000001000000}" name="cells" dataDxfId="23"/>
    <tableColumn id="11" xr3:uid="{00000000-0010-0000-0100-00000B000000}" name="cell type" dataDxfId="22"/>
    <tableColumn id="3" xr3:uid="{00000000-0010-0000-0100-000003000000}" name="number of cell (Crapo et al., 1982)" dataDxfId="21"/>
    <tableColumn id="9" xr3:uid="{00000000-0010-0000-0100-000009000000}" name="SEM of cells (Crapo et al., 1982)" dataDxfId="20"/>
    <tableColumn id="5" xr3:uid="{00000000-0010-0000-0100-000005000000}" name="number of cell (Stone et al., 1992)" dataDxfId="19"/>
    <tableColumn id="8" xr3:uid="{00000000-0010-0000-0100-000008000000}" name="SEM of cells (Stone et al., 1992)" dataDxfId="18">
      <calculatedColumnFormula>2* 10^6 *9000</calculatedColumnFormula>
    </tableColumn>
    <tableColumn id="6" xr3:uid="{00000000-0010-0000-0100-000006000000}" name="number of cell (Mercer et al., 1994)" dataDxfId="17"/>
    <tableColumn id="10" xr3:uid="{00000000-0010-0000-0100-00000A000000}" name="SEM of cells (Mercer et al., 1994)" dataDxfId="16">
      <calculatedColumnFormula>23* 10^9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4" displayName="Table24" ref="A1:H8" totalsRowShown="0" headerRowDxfId="15" dataDxfId="14">
  <autoFilter ref="A1:H8" xr:uid="{00000000-0009-0000-0100-000003000000}"/>
  <tableColumns count="8">
    <tableColumn id="1" xr3:uid="{00000000-0010-0000-0200-000001000000}" name="cells" dataDxfId="13"/>
    <tableColumn id="11" xr3:uid="{00000000-0010-0000-0200-00000B000000}" name="cell type" dataDxfId="12"/>
    <tableColumn id="3" xr3:uid="{00000000-0010-0000-0200-000003000000}" name="volume [fl] (Crapo et al., 1982)" dataDxfId="11"/>
    <tableColumn id="9" xr3:uid="{00000000-0010-0000-0200-000009000000}" name="SEM of volume [fl] (Crapo et al., 1982)" dataDxfId="10"/>
    <tableColumn id="5" xr3:uid="{00000000-0010-0000-0200-000005000000}" name="volume [fl] (Stone et al., 1992)" dataDxfId="9"/>
    <tableColumn id="8" xr3:uid="{00000000-0010-0000-0200-000008000000}" name="SEM of volume [fl] (Stone et al., 1992)" dataDxfId="8"/>
    <tableColumn id="6" xr3:uid="{00000000-0010-0000-0200-000006000000}" name="volume [fl] (Mercer et al., 1994)" dataDxfId="7"/>
    <tableColumn id="10" xr3:uid="{00000000-0010-0000-0200-00000A000000}" name="SEM of volume [fl] (Mercer et al., 1994)"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F12" totalsRowCount="1">
  <autoFilter ref="A1:F11" xr:uid="{00000000-0009-0000-0100-000005000000}"/>
  <tableColumns count="6">
    <tableColumn id="1" xr3:uid="{00000000-0010-0000-0300-000001000000}" name="airway size" totalsRowLabel="average"/>
    <tableColumn id="2" xr3:uid="{00000000-0010-0000-0300-000002000000}" name="cell  subtype"/>
    <tableColumn id="3" xr3:uid="{00000000-0010-0000-0300-000003000000}" name="volume [fl]" totalsRowFunction="custom" totalsRowDxfId="5">
      <totalsRowFormula>SUMPRODUCT(Table5[volume '[fl']],Table5[%])</totalsRowFormula>
    </tableColumn>
    <tableColumn id="4" xr3:uid="{00000000-0010-0000-0300-000004000000}" name="SD [fl]" totalsRowFunction="custom" dataDxfId="4" totalsRowDxfId="3">
      <totalsRowFormula>SUMPRODUCT(Table5[SD '[fl']],Table5[%])</totalsRowFormula>
    </tableColumn>
    <tableColumn id="5" xr3:uid="{00000000-0010-0000-0300-000005000000}" name="number"/>
    <tableColumn id="6" xr3:uid="{00000000-0010-0000-0300-000006000000}" name="%" totalsRowDxfId="2" dataCellStyle="Percent">
      <calculatedColumnFormula>Table5[[#This Row],[number]]/SUM(Table5[number])</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bronci_epi_vol_summary" displayName="bronci_epi_vol_summary" ref="A14:C16" totalsRowShown="0">
  <autoFilter ref="A14:C16" xr:uid="{00000000-0009-0000-0100-000006000000}"/>
  <tableColumns count="3">
    <tableColumn id="1" xr3:uid="{00000000-0010-0000-0400-000001000000}" name="airway"/>
    <tableColumn id="2" xr3:uid="{00000000-0010-0000-0400-000002000000}" name="volume [fl]" dataDxfId="1">
      <calculatedColumnFormula>SUMPRODUCT(C2:C9,F2:F9)/SUM(F2:F9)</calculatedColumnFormula>
    </tableColumn>
    <tableColumn id="3" xr3:uid="{00000000-0010-0000-0400-000003000000}" name="SD [fl]" dataDxfId="0">
      <calculatedColumnFormula>SUMPRODUCT(D2:D9,F2:F9)/SUM(F2:F9)</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25" displayName="Table25" ref="A1:H10" totalsRowShown="0">
  <autoFilter ref="A1:H10" xr:uid="{00000000-0009-0000-0100-000004000000}"/>
  <tableColumns count="8">
    <tableColumn id="1" xr3:uid="{00000000-0010-0000-0500-000001000000}" name="parameter"/>
    <tableColumn id="2" xr3:uid="{00000000-0010-0000-0500-000002000000}" name="value"/>
    <tableColumn id="6" xr3:uid="{00000000-0010-0000-0500-000006000000}" name="units"/>
    <tableColumn id="3" xr3:uid="{00000000-0010-0000-0500-000003000000}" name="SD"/>
    <tableColumn id="7" xr3:uid="{00000000-0010-0000-0500-000007000000}" name="N"/>
    <tableColumn id="8" xr3:uid="{00000000-0010-0000-0500-000008000000}" name="SEM"/>
    <tableColumn id="5" xr3:uid="{00000000-0010-0000-0500-000005000000}" name="comment"/>
    <tableColumn id="4" xr3:uid="{00000000-0010-0000-0500-000004000000}" name="sourc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258" displayName="Table258" ref="A1:G4" totalsRowShown="0">
  <autoFilter ref="A1:G4" xr:uid="{00000000-0009-0000-0100-000007000000}"/>
  <tableColumns count="7">
    <tableColumn id="1" xr3:uid="{00000000-0010-0000-0600-000001000000}" name="source"/>
    <tableColumn id="2" xr3:uid="{00000000-0010-0000-0600-000002000000}" name="bronchi epithel LI"/>
    <tableColumn id="6" xr3:uid="{00000000-0010-0000-0600-000006000000}" name="units"/>
    <tableColumn id="3" xr3:uid="{00000000-0010-0000-0600-000003000000}" name="SD"/>
    <tableColumn id="7" xr3:uid="{00000000-0010-0000-0600-000007000000}" name="N"/>
    <tableColumn id="8" xr3:uid="{00000000-0010-0000-0600-000008000000}" name="SEM"/>
    <tableColumn id="5" xr3:uid="{00000000-0010-0000-0600-000005000000}" name="commen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1:G15" totalsRowShown="0">
  <autoFilter ref="A1:G15" xr:uid="{00000000-0009-0000-0100-000008000000}"/>
  <tableColumns count="7">
    <tableColumn id="1" xr3:uid="{00000000-0010-0000-0700-000001000000}" name="cell type"/>
    <tableColumn id="2" xr3:uid="{00000000-0010-0000-0700-000002000000}" name="in vivo/vitro"/>
    <tableColumn id="3" xr3:uid="{00000000-0010-0000-0700-000003000000}" name="TC"/>
    <tableColumn id="5" xr3:uid="{00000000-0010-0000-0700-000005000000}" name="TG1"/>
    <tableColumn id="4" xr3:uid="{00000000-0010-0000-0700-000004000000}" name="TS"/>
    <tableColumn id="7" xr3:uid="{00000000-0010-0000-0700-000007000000}" name="T(G2+M)"/>
    <tableColumn id="6" xr3:uid="{00000000-0010-0000-0700-000006000000}" name="sourc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25810" displayName="Table25810" ref="A1:E3" totalsRowShown="0">
  <autoFilter ref="A1:E3" xr:uid="{00000000-0009-0000-0100-000009000000}"/>
  <tableColumns count="5">
    <tableColumn id="1" xr3:uid="{00000000-0010-0000-0800-000001000000}" name="cell"/>
    <tableColumn id="2" xr3:uid="{00000000-0010-0000-0800-000002000000}" name="lifespan [d]"/>
    <tableColumn id="3" xr3:uid="{00000000-0010-0000-0800-000003000000}" name="SD"/>
    <tableColumn id="5" xr3:uid="{00000000-0010-0000-0800-000005000000}" name="comment"/>
    <tableColumn id="9" xr3:uid="{00000000-0010-0000-0800-000009000000}" name="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
  <sheetViews>
    <sheetView workbookViewId="0">
      <selection activeCell="B5" sqref="B5"/>
    </sheetView>
  </sheetViews>
  <sheetFormatPr defaultRowHeight="14.5" x14ac:dyDescent="0.35"/>
  <cols>
    <col min="1" max="1" width="20.1796875" bestFit="1" customWidth="1"/>
    <col min="2" max="2" width="21.54296875" customWidth="1"/>
    <col min="3" max="3" width="18.26953125" customWidth="1"/>
    <col min="4" max="4" width="18.453125" customWidth="1"/>
    <col min="5" max="5" width="16.7265625" customWidth="1"/>
    <col min="6" max="6" width="19.453125" customWidth="1"/>
    <col min="7" max="7" width="13.7265625" customWidth="1"/>
  </cols>
  <sheetData>
    <row r="1" spans="1:14" ht="27.75" customHeight="1" x14ac:dyDescent="0.35">
      <c r="A1" s="20" t="s">
        <v>0</v>
      </c>
      <c r="B1" s="20" t="s">
        <v>26</v>
      </c>
      <c r="C1" s="21" t="s">
        <v>16</v>
      </c>
      <c r="D1" s="21" t="s">
        <v>21</v>
      </c>
      <c r="E1" s="21" t="s">
        <v>17</v>
      </c>
      <c r="F1" s="21" t="s">
        <v>20</v>
      </c>
      <c r="G1" s="21" t="s">
        <v>19</v>
      </c>
      <c r="H1" s="22" t="s">
        <v>24</v>
      </c>
      <c r="M1" s="1" t="s">
        <v>6</v>
      </c>
      <c r="N1" t="s">
        <v>7</v>
      </c>
    </row>
    <row r="2" spans="1:14" x14ac:dyDescent="0.35">
      <c r="A2" s="14" t="s">
        <v>1</v>
      </c>
      <c r="B2" s="14" t="s">
        <v>117</v>
      </c>
      <c r="C2" s="9">
        <f>2*19* 10^9</f>
        <v>38000000000</v>
      </c>
      <c r="D2" s="9">
        <f>2*3* 10^9</f>
        <v>6000000000</v>
      </c>
      <c r="E2" s="9">
        <f t="shared" ref="E2" si="0">2* 10^6 * 20000</f>
        <v>40000000000</v>
      </c>
      <c r="F2" s="9">
        <f t="shared" ref="F2" si="1">2* 10^6 *9000</f>
        <v>18000000000</v>
      </c>
      <c r="G2" s="15"/>
      <c r="H2" s="19"/>
      <c r="M2" s="2" t="s">
        <v>8</v>
      </c>
      <c r="N2" t="s">
        <v>9</v>
      </c>
    </row>
    <row r="3" spans="1:14" x14ac:dyDescent="0.35">
      <c r="A3" s="14" t="s">
        <v>2</v>
      </c>
      <c r="B3" s="14" t="s">
        <v>117</v>
      </c>
      <c r="C3" s="9">
        <f>2*37* 10^9</f>
        <v>74000000000</v>
      </c>
      <c r="D3" s="9">
        <f>2*5* 10^9</f>
        <v>10000000000</v>
      </c>
      <c r="E3" s="9">
        <f>2* 10^6 * 33000</f>
        <v>66000000000</v>
      </c>
      <c r="F3" s="9">
        <f>2* 10^6 *13600</f>
        <v>27200000000</v>
      </c>
      <c r="G3" s="15"/>
      <c r="H3" s="19"/>
      <c r="M3" s="3" t="str">
        <f>"["  &amp; VALUE(MID(M2,2,LEN(M2)-2))+1 &amp; "]"</f>
        <v>[2]</v>
      </c>
      <c r="N3" t="s">
        <v>10</v>
      </c>
    </row>
    <row r="4" spans="1:14" x14ac:dyDescent="0.35">
      <c r="A4" s="14" t="s">
        <v>23</v>
      </c>
      <c r="B4" s="14" t="s">
        <v>123</v>
      </c>
      <c r="C4" s="9">
        <f>2*68* 10^9</f>
        <v>136000000000</v>
      </c>
      <c r="D4" s="9">
        <f>2*7* 10^9</f>
        <v>14000000000</v>
      </c>
      <c r="E4" s="9">
        <f>2* 10^6 * 73200</f>
        <v>146400000000</v>
      </c>
      <c r="F4" s="9">
        <f>2* 10^6 *29000</f>
        <v>58000000000</v>
      </c>
      <c r="G4" s="9"/>
      <c r="H4" s="19"/>
      <c r="M4" s="4" t="str">
        <f>"["  &amp; VALUE(MID(M3,2,LEN(M3)-2))+1 &amp; "]"</f>
        <v>[3]</v>
      </c>
      <c r="N4" s="5" t="s">
        <v>11</v>
      </c>
    </row>
    <row r="5" spans="1:14" x14ac:dyDescent="0.35">
      <c r="A5" s="14" t="s">
        <v>22</v>
      </c>
      <c r="B5" s="14" t="s">
        <v>126</v>
      </c>
      <c r="C5" s="9">
        <f>2*84* 10^9</f>
        <v>168000000000</v>
      </c>
      <c r="D5" s="9">
        <f>2*10* 10^9</f>
        <v>20000000000</v>
      </c>
      <c r="E5" s="9">
        <f>2* 10^6 * 52500</f>
        <v>105000000000</v>
      </c>
      <c r="F5" s="9">
        <f>2* 10^6 *12000</f>
        <v>24000000000</v>
      </c>
      <c r="G5" s="9"/>
      <c r="H5" s="19"/>
      <c r="M5" s="3" t="str">
        <f>"["  &amp; VALUE(MID(M4,2,LEN(M4)-2))+1 &amp; "]"</f>
        <v>[4]</v>
      </c>
      <c r="N5" t="s">
        <v>12</v>
      </c>
    </row>
    <row r="6" spans="1:14" x14ac:dyDescent="0.35">
      <c r="A6" s="14" t="s">
        <v>3</v>
      </c>
      <c r="B6" s="14" t="s">
        <v>125</v>
      </c>
      <c r="C6" s="9">
        <f>2*23* 10^9</f>
        <v>46000000000</v>
      </c>
      <c r="D6" s="9">
        <f>2*7* 10^9</f>
        <v>14000000000</v>
      </c>
      <c r="E6" s="9">
        <f>2* 10^6 * 6000</f>
        <v>12000000000</v>
      </c>
      <c r="F6" s="9">
        <f>2* 10^6 * 2000</f>
        <v>4000000000</v>
      </c>
      <c r="G6" s="9"/>
      <c r="H6" s="19"/>
      <c r="M6" s="6" t="str">
        <f>"["  &amp; VALUE(MID(M5,2,LEN(M5)-2))+1 &amp; "]"</f>
        <v>[5]</v>
      </c>
      <c r="N6" s="7" t="s">
        <v>13</v>
      </c>
    </row>
    <row r="7" spans="1:14" x14ac:dyDescent="0.35">
      <c r="A7" s="14" t="s">
        <v>4</v>
      </c>
      <c r="B7" s="14" t="s">
        <v>124</v>
      </c>
      <c r="C7" s="9"/>
      <c r="D7" s="9"/>
      <c r="E7" s="10"/>
      <c r="F7" s="10"/>
      <c r="G7" s="11">
        <v>7140740000</v>
      </c>
      <c r="H7" s="9">
        <f>9* 10^8</f>
        <v>900000000</v>
      </c>
      <c r="M7" s="6" t="str">
        <f t="shared" ref="M7:M8" si="2">"["  &amp; VALUE(MID(M6,2,LEN(M6)-2))+1 &amp; "]"</f>
        <v>[6]</v>
      </c>
      <c r="N7" s="8" t="s">
        <v>14</v>
      </c>
    </row>
    <row r="8" spans="1:14" x14ac:dyDescent="0.35">
      <c r="A8" s="14" t="s">
        <v>5</v>
      </c>
      <c r="B8" s="14" t="s">
        <v>124</v>
      </c>
      <c r="C8" s="9"/>
      <c r="D8" s="9"/>
      <c r="E8" s="10"/>
      <c r="F8" s="10"/>
      <c r="G8" s="11">
        <v>3287550000</v>
      </c>
      <c r="H8" s="19">
        <f>6* 10^8</f>
        <v>600000000</v>
      </c>
      <c r="M8" s="6" t="str">
        <f t="shared" si="2"/>
        <v>[7]</v>
      </c>
      <c r="N8" s="8" t="s">
        <v>15</v>
      </c>
    </row>
    <row r="9" spans="1:14" x14ac:dyDescent="0.35">
      <c r="A9" s="16"/>
      <c r="B9" s="17"/>
      <c r="C9" s="17"/>
      <c r="D9" s="12"/>
      <c r="E9" s="12"/>
    </row>
    <row r="10" spans="1:14" x14ac:dyDescent="0.35">
      <c r="A10" s="13"/>
      <c r="B10" s="13"/>
      <c r="C10" s="13"/>
      <c r="D10" s="13"/>
      <c r="E10" s="13"/>
    </row>
    <row r="11" spans="1:14" x14ac:dyDescent="0.35">
      <c r="A11" s="13"/>
      <c r="B11" s="13"/>
      <c r="C11" s="13"/>
      <c r="D11" s="13"/>
      <c r="E11" s="13"/>
    </row>
    <row r="12" spans="1:14" x14ac:dyDescent="0.35">
      <c r="A12" s="13"/>
      <c r="B12" s="13"/>
      <c r="C12" s="13"/>
      <c r="D12" s="13"/>
      <c r="E12" s="13"/>
    </row>
    <row r="13" spans="1:14" x14ac:dyDescent="0.35">
      <c r="D13" s="13"/>
      <c r="E13" s="13"/>
    </row>
    <row r="14" spans="1:14" x14ac:dyDescent="0.35">
      <c r="D14" s="13"/>
      <c r="E14" s="13"/>
    </row>
    <row r="15" spans="1:14" x14ac:dyDescent="0.35">
      <c r="D15" s="13"/>
      <c r="E15" s="13"/>
    </row>
    <row r="20" spans="9:19" x14ac:dyDescent="0.35">
      <c r="P20">
        <v>1.38</v>
      </c>
    </row>
    <row r="22" spans="9:19" x14ac:dyDescent="0.35">
      <c r="P22">
        <f>100*1.38%*32</f>
        <v>44.16</v>
      </c>
    </row>
    <row r="24" spans="9:19" x14ac:dyDescent="0.35">
      <c r="P24">
        <v>2318</v>
      </c>
    </row>
    <row r="25" spans="9:19" x14ac:dyDescent="0.35">
      <c r="P25">
        <f>P24/P22</f>
        <v>52.490942028985508</v>
      </c>
    </row>
    <row r="26" spans="9:19" x14ac:dyDescent="0.35">
      <c r="I26" s="26">
        <v>0.02</v>
      </c>
      <c r="P26">
        <f>1/P25</f>
        <v>1.9050905953408109E-2</v>
      </c>
    </row>
    <row r="27" spans="9:19" x14ac:dyDescent="0.35">
      <c r="I27">
        <v>32</v>
      </c>
      <c r="J27">
        <f>I27/24</f>
        <v>1.3333333333333333</v>
      </c>
    </row>
    <row r="29" spans="9:19" x14ac:dyDescent="0.35">
      <c r="J29">
        <f>1/J27</f>
        <v>0.75</v>
      </c>
      <c r="Q29" t="s">
        <v>51</v>
      </c>
    </row>
    <row r="30" spans="9:19" x14ac:dyDescent="0.35">
      <c r="Q30">
        <v>32</v>
      </c>
    </row>
    <row r="31" spans="9:19" x14ac:dyDescent="0.35">
      <c r="K31">
        <f>I26/J27</f>
        <v>1.5000000000000001E-2</v>
      </c>
      <c r="R31" s="34">
        <v>1.38E-2</v>
      </c>
      <c r="S31">
        <v>32</v>
      </c>
    </row>
    <row r="32" spans="9:19" x14ac:dyDescent="0.35">
      <c r="K32">
        <f>1/K31</f>
        <v>66.666666666666657</v>
      </c>
      <c r="R32">
        <f>S31/R31</f>
        <v>2318.840579710145</v>
      </c>
    </row>
    <row r="33" spans="18:18" x14ac:dyDescent="0.35">
      <c r="R33">
        <f>R32/24</f>
        <v>96.618357487922708</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
  <sheetViews>
    <sheetView workbookViewId="0">
      <selection activeCell="C12" sqref="C12"/>
    </sheetView>
  </sheetViews>
  <sheetFormatPr defaultRowHeight="14.5" x14ac:dyDescent="0.35"/>
  <cols>
    <col min="1" max="1" width="17" customWidth="1"/>
    <col min="2" max="2" width="23.1796875" bestFit="1" customWidth="1"/>
    <col min="3" max="8" width="17" customWidth="1"/>
  </cols>
  <sheetData>
    <row r="1" spans="1:8" ht="44.25" customHeight="1" x14ac:dyDescent="0.35">
      <c r="A1" s="20" t="s">
        <v>0</v>
      </c>
      <c r="B1" s="20" t="s">
        <v>26</v>
      </c>
      <c r="C1" s="21" t="s">
        <v>27</v>
      </c>
      <c r="D1" s="21" t="s">
        <v>28</v>
      </c>
      <c r="E1" s="21" t="s">
        <v>31</v>
      </c>
      <c r="F1" s="21" t="s">
        <v>30</v>
      </c>
      <c r="G1" s="21" t="s">
        <v>32</v>
      </c>
      <c r="H1" s="22" t="s">
        <v>29</v>
      </c>
    </row>
    <row r="2" spans="1:8" x14ac:dyDescent="0.35">
      <c r="A2" s="14" t="s">
        <v>1</v>
      </c>
      <c r="B2" s="32" t="s">
        <v>117</v>
      </c>
      <c r="C2" s="28">
        <v>1760</v>
      </c>
      <c r="D2" s="28">
        <v>160</v>
      </c>
      <c r="E2" s="28">
        <v>2390</v>
      </c>
      <c r="F2" s="28">
        <v>590</v>
      </c>
      <c r="G2" s="29"/>
      <c r="H2" s="30"/>
    </row>
    <row r="3" spans="1:8" x14ac:dyDescent="0.35">
      <c r="A3" s="14" t="s">
        <v>2</v>
      </c>
      <c r="B3" s="14" t="s">
        <v>25</v>
      </c>
      <c r="C3" s="28">
        <v>890</v>
      </c>
      <c r="D3" s="28">
        <v>100</v>
      </c>
      <c r="E3" s="28">
        <v>815</v>
      </c>
      <c r="F3" s="28">
        <v>140</v>
      </c>
      <c r="G3" s="29"/>
      <c r="H3" s="30"/>
    </row>
    <row r="4" spans="1:8" x14ac:dyDescent="0.35">
      <c r="A4" s="14" t="s">
        <v>23</v>
      </c>
      <c r="B4" s="32" t="s">
        <v>123</v>
      </c>
      <c r="C4" s="28">
        <v>630</v>
      </c>
      <c r="D4" s="28">
        <v>60</v>
      </c>
      <c r="E4" s="28">
        <v>610</v>
      </c>
      <c r="F4" s="28">
        <v>40</v>
      </c>
      <c r="G4" s="28"/>
      <c r="H4" s="30"/>
    </row>
    <row r="5" spans="1:8" x14ac:dyDescent="0.35">
      <c r="A5" s="14" t="s">
        <v>22</v>
      </c>
      <c r="B5" s="33" t="s">
        <v>126</v>
      </c>
      <c r="C5" s="28">
        <v>640</v>
      </c>
      <c r="D5" s="28">
        <v>30</v>
      </c>
      <c r="E5" s="28">
        <v>770</v>
      </c>
      <c r="F5" s="28">
        <v>140</v>
      </c>
      <c r="G5" s="28"/>
      <c r="H5" s="30"/>
    </row>
    <row r="6" spans="1:8" x14ac:dyDescent="0.35">
      <c r="A6" s="14" t="s">
        <v>3</v>
      </c>
      <c r="B6" s="32" t="s">
        <v>125</v>
      </c>
      <c r="C6" s="28">
        <v>2500</v>
      </c>
      <c r="D6" s="28">
        <v>170</v>
      </c>
      <c r="E6" s="28">
        <v>1470</v>
      </c>
      <c r="F6" s="28">
        <v>260</v>
      </c>
      <c r="G6" s="28"/>
      <c r="H6" s="30"/>
    </row>
    <row r="7" spans="1:8" x14ac:dyDescent="0.35">
      <c r="A7" s="14" t="s">
        <v>4</v>
      </c>
      <c r="B7" s="32" t="s">
        <v>124</v>
      </c>
      <c r="C7" s="28"/>
      <c r="D7" s="28"/>
      <c r="E7" s="28"/>
      <c r="F7" s="28"/>
      <c r="G7" s="31">
        <f>INDEX(bronci_epi_vol_summary[volume '[fl']],MATCH("Bronchi ",bronci_epi_vol_summary[airway],0))</f>
        <v>1052.0924632206827</v>
      </c>
      <c r="H7" s="31">
        <f>INDEX(bronci_epi_vol_summary[SD '[fl']],MATCH("Bronchi ",bronci_epi_vol_summary[airway],0))</f>
        <v>142.52984212553193</v>
      </c>
    </row>
    <row r="8" spans="1:8" x14ac:dyDescent="0.35">
      <c r="A8" s="14" t="s">
        <v>5</v>
      </c>
      <c r="B8" s="32" t="s">
        <v>124</v>
      </c>
      <c r="C8" s="28"/>
      <c r="D8" s="28"/>
      <c r="E8" s="28"/>
      <c r="F8" s="28"/>
      <c r="G8" s="31">
        <f>INDEX(bronci_epi_vol_summary[volume '[fl']],MATCH("Bronchioles",bronci_epi_vol_summary[airway],0))</f>
        <v>412.82438901486444</v>
      </c>
      <c r="H8" s="31">
        <f>INDEX(bronci_epi_vol_summary[SD '[fl']],MATCH("Bronchioles",bronci_epi_vol_summary[airway],0))</f>
        <v>70.672713529856878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
  <sheetViews>
    <sheetView workbookViewId="0">
      <selection activeCell="F28" sqref="F28"/>
    </sheetView>
  </sheetViews>
  <sheetFormatPr defaultRowHeight="14.5" x14ac:dyDescent="0.35"/>
  <cols>
    <col min="1" max="1" width="18.7265625" bestFit="1" customWidth="1"/>
    <col min="2" max="2" width="15.1796875" bestFit="1" customWidth="1"/>
    <col min="3" max="3" width="13.81640625" customWidth="1"/>
    <col min="4" max="4" width="17.453125" customWidth="1"/>
    <col min="13" max="14" width="11" customWidth="1"/>
    <col min="15" max="15" width="9.81640625" customWidth="1"/>
  </cols>
  <sheetData>
    <row r="1" spans="1:9" x14ac:dyDescent="0.35">
      <c r="A1" t="s">
        <v>37</v>
      </c>
      <c r="B1" t="s">
        <v>38</v>
      </c>
      <c r="C1" t="s">
        <v>39</v>
      </c>
      <c r="D1" t="s">
        <v>40</v>
      </c>
      <c r="E1" t="s">
        <v>41</v>
      </c>
      <c r="F1" t="s">
        <v>42</v>
      </c>
      <c r="I1" t="s">
        <v>18</v>
      </c>
    </row>
    <row r="2" spans="1:9" x14ac:dyDescent="0.35">
      <c r="A2" t="s">
        <v>45</v>
      </c>
      <c r="B2" t="s">
        <v>36</v>
      </c>
      <c r="C2" s="24">
        <v>1397.9591836734601</v>
      </c>
      <c r="D2" s="24">
        <v>115.64625850340985</v>
      </c>
      <c r="E2">
        <f>2295/2</f>
        <v>1147.5</v>
      </c>
      <c r="F2" s="25">
        <f>Table5[[#This Row],[number]]/SUM(Table5[number])</f>
        <v>0.13883847549909256</v>
      </c>
    </row>
    <row r="3" spans="1:9" x14ac:dyDescent="0.35">
      <c r="A3" t="s">
        <v>45</v>
      </c>
      <c r="B3" t="s">
        <v>33</v>
      </c>
      <c r="C3" s="24">
        <v>632.65306122448897</v>
      </c>
      <c r="D3" s="24">
        <v>57.823129251701062</v>
      </c>
      <c r="E3">
        <f>2167/2</f>
        <v>1083.5</v>
      </c>
      <c r="F3" s="25">
        <f>Table5[[#This Row],[number]]/SUM(Table5[number])</f>
        <v>0.13109497882637627</v>
      </c>
    </row>
    <row r="4" spans="1:9" x14ac:dyDescent="0.35">
      <c r="A4" t="s">
        <v>45</v>
      </c>
      <c r="B4" t="s">
        <v>34</v>
      </c>
      <c r="C4" s="24">
        <v>2414.9659863945499</v>
      </c>
      <c r="D4" s="24">
        <v>68.027210884360102</v>
      </c>
      <c r="E4">
        <f>872/2</f>
        <v>436</v>
      </c>
      <c r="F4" s="25">
        <f>Table5[[#This Row],[number]]/SUM(Table5[number])</f>
        <v>5.2752571082879611E-2</v>
      </c>
    </row>
    <row r="5" spans="1:9" x14ac:dyDescent="0.35">
      <c r="A5" t="s">
        <v>45</v>
      </c>
      <c r="B5" t="s">
        <v>35</v>
      </c>
      <c r="C5" s="24">
        <v>1387.75510204081</v>
      </c>
      <c r="D5" s="24">
        <v>265.30612244897998</v>
      </c>
      <c r="E5">
        <f>231/2</f>
        <v>115.5</v>
      </c>
      <c r="F5" s="25">
        <f>Table5[[#This Row],[number]]/SUM(Table5[number])</f>
        <v>1.3974591651542649E-2</v>
      </c>
    </row>
    <row r="6" spans="1:9" x14ac:dyDescent="0.35">
      <c r="A6" t="s">
        <v>46</v>
      </c>
      <c r="B6" t="s">
        <v>36</v>
      </c>
      <c r="C6" s="24">
        <v>1088.43537414965</v>
      </c>
      <c r="D6" s="24">
        <v>251.70068027211005</v>
      </c>
      <c r="E6">
        <f>2295/2</f>
        <v>1147.5</v>
      </c>
      <c r="F6" s="25">
        <f>Table5[[#This Row],[number]]/SUM(Table5[number])</f>
        <v>0.13883847549909256</v>
      </c>
    </row>
    <row r="7" spans="1:9" x14ac:dyDescent="0.35">
      <c r="A7" t="s">
        <v>46</v>
      </c>
      <c r="B7" t="s">
        <v>33</v>
      </c>
      <c r="C7" s="24">
        <v>438.775510204081</v>
      </c>
      <c r="D7" s="24">
        <v>112.24489795918396</v>
      </c>
      <c r="E7">
        <f>2167/2</f>
        <v>1083.5</v>
      </c>
      <c r="F7" s="25">
        <f>Table5[[#This Row],[number]]/SUM(Table5[number])</f>
        <v>0.13109497882637627</v>
      </c>
    </row>
    <row r="8" spans="1:9" x14ac:dyDescent="0.35">
      <c r="A8" t="s">
        <v>46</v>
      </c>
      <c r="B8" t="s">
        <v>34</v>
      </c>
      <c r="C8" s="24">
        <v>1183.6734693877499</v>
      </c>
      <c r="D8" s="24">
        <v>234.69387755102002</v>
      </c>
      <c r="E8">
        <f>872/2</f>
        <v>436</v>
      </c>
      <c r="F8" s="25">
        <f>Table5[[#This Row],[number]]/SUM(Table5[number])</f>
        <v>5.2752571082879611E-2</v>
      </c>
    </row>
    <row r="9" spans="1:9" x14ac:dyDescent="0.35">
      <c r="A9" t="s">
        <v>46</v>
      </c>
      <c r="B9" t="s">
        <v>35</v>
      </c>
      <c r="C9" s="24">
        <v>965.98639455782302</v>
      </c>
      <c r="D9" s="24">
        <v>214.28571428570706</v>
      </c>
      <c r="E9">
        <f>231/2</f>
        <v>115.5</v>
      </c>
      <c r="F9" s="25">
        <f>Table5[[#This Row],[number]]/SUM(Table5[number])</f>
        <v>1.3974591651542649E-2</v>
      </c>
    </row>
    <row r="10" spans="1:9" x14ac:dyDescent="0.35">
      <c r="A10" t="s">
        <v>47</v>
      </c>
      <c r="B10" t="s">
        <v>36</v>
      </c>
      <c r="C10" s="24">
        <v>459.18367346938697</v>
      </c>
      <c r="D10" s="24">
        <v>105.44217687074905</v>
      </c>
      <c r="E10">
        <v>1550</v>
      </c>
      <c r="F10" s="25">
        <f>Table5[[#This Row],[number]]/SUM(Table5[number])</f>
        <v>0.18753781004234724</v>
      </c>
    </row>
    <row r="11" spans="1:9" x14ac:dyDescent="0.35">
      <c r="A11" t="s">
        <v>47</v>
      </c>
      <c r="B11" t="s">
        <v>35</v>
      </c>
      <c r="C11" s="24">
        <v>350.34013605442101</v>
      </c>
      <c r="D11" s="24">
        <v>23.809523809523967</v>
      </c>
      <c r="E11">
        <v>1150</v>
      </c>
      <c r="F11" s="25">
        <f>Table5[[#This Row],[number]]/SUM(Table5[number])</f>
        <v>0.13914095583787053</v>
      </c>
    </row>
    <row r="12" spans="1:9" x14ac:dyDescent="0.35">
      <c r="A12" t="s">
        <v>44</v>
      </c>
      <c r="C12" s="27">
        <f>SUMPRODUCT(Table5[volume '[fl']],Table5[%])</f>
        <v>843.25715767250233</v>
      </c>
      <c r="D12" s="27">
        <f>SUMPRODUCT(Table5[SD '[fl']],Table5[%])</f>
        <v>119.0556440362007</v>
      </c>
      <c r="F12" s="26"/>
    </row>
    <row r="14" spans="1:9" x14ac:dyDescent="0.35">
      <c r="A14" t="s">
        <v>43</v>
      </c>
      <c r="B14" s="18" t="s">
        <v>39</v>
      </c>
      <c r="C14" s="18" t="s">
        <v>40</v>
      </c>
    </row>
    <row r="15" spans="1:9" x14ac:dyDescent="0.35">
      <c r="A15" t="s">
        <v>48</v>
      </c>
      <c r="B15" s="23">
        <f t="shared" ref="B15" si="0">SUMPRODUCT(C2:C9,F2:F9)/SUM(F2:F9)</f>
        <v>1052.0924632206827</v>
      </c>
      <c r="C15" s="23">
        <f t="shared" ref="C15" si="1">SUMPRODUCT(D2:D9,F2:F9)/SUM(F2:F9)</f>
        <v>142.52984212553193</v>
      </c>
    </row>
    <row r="16" spans="1:9" x14ac:dyDescent="0.35">
      <c r="A16" t="s">
        <v>49</v>
      </c>
      <c r="B16" s="23">
        <f>SUMPRODUCT(C10:C11,F10:F11)/SUM(F10:F11)</f>
        <v>412.82438901486444</v>
      </c>
      <c r="C16" s="23">
        <f>SUMPRODUCT(D10:D11,F10:F11)/SUM(F10:F11)</f>
        <v>70.672713529856878</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0"/>
  <sheetViews>
    <sheetView zoomScale="115" zoomScaleNormal="115" workbookViewId="0">
      <selection activeCell="D20" sqref="D20"/>
    </sheetView>
  </sheetViews>
  <sheetFormatPr defaultRowHeight="14.5" x14ac:dyDescent="0.35"/>
  <cols>
    <col min="1" max="1" width="45.54296875" bestFit="1" customWidth="1"/>
    <col min="6" max="6" width="13.81640625" customWidth="1"/>
    <col min="7" max="7" width="25.81640625" bestFit="1" customWidth="1"/>
  </cols>
  <sheetData>
    <row r="1" spans="1:15" x14ac:dyDescent="0.35">
      <c r="A1" t="s">
        <v>52</v>
      </c>
      <c r="B1" t="s">
        <v>53</v>
      </c>
      <c r="C1" t="s">
        <v>54</v>
      </c>
      <c r="D1" t="s">
        <v>55</v>
      </c>
      <c r="E1" t="s">
        <v>64</v>
      </c>
      <c r="F1" t="s">
        <v>65</v>
      </c>
      <c r="G1" t="s">
        <v>56</v>
      </c>
      <c r="H1" t="s">
        <v>7</v>
      </c>
      <c r="O1" s="35" t="s">
        <v>7</v>
      </c>
    </row>
    <row r="2" spans="1:15" x14ac:dyDescent="0.35">
      <c r="A2" t="s">
        <v>57</v>
      </c>
      <c r="B2" s="37">
        <v>32</v>
      </c>
      <c r="C2" s="26" t="s">
        <v>58</v>
      </c>
      <c r="D2" s="37">
        <v>1</v>
      </c>
      <c r="E2" s="37">
        <v>1</v>
      </c>
      <c r="F2" s="26"/>
      <c r="G2" t="s">
        <v>75</v>
      </c>
      <c r="H2" s="36" t="s">
        <v>73</v>
      </c>
      <c r="O2" s="44" t="s">
        <v>103</v>
      </c>
    </row>
    <row r="3" spans="1:15" x14ac:dyDescent="0.35">
      <c r="A3" t="s">
        <v>57</v>
      </c>
      <c r="B3" s="37">
        <v>40</v>
      </c>
      <c r="C3" s="26" t="s">
        <v>58</v>
      </c>
      <c r="D3" s="37">
        <v>1.6</v>
      </c>
      <c r="E3" s="37">
        <v>24</v>
      </c>
      <c r="F3" s="40"/>
      <c r="G3" t="s">
        <v>74</v>
      </c>
      <c r="H3" s="36" t="s">
        <v>59</v>
      </c>
      <c r="O3" s="44" t="s">
        <v>104</v>
      </c>
    </row>
    <row r="4" spans="1:15" x14ac:dyDescent="0.35">
      <c r="A4" t="s">
        <v>60</v>
      </c>
      <c r="B4" s="38">
        <v>17</v>
      </c>
      <c r="C4" s="26" t="s">
        <v>58</v>
      </c>
      <c r="D4">
        <v>1.5</v>
      </c>
      <c r="E4">
        <v>11</v>
      </c>
      <c r="F4" s="40"/>
      <c r="G4" t="s">
        <v>74</v>
      </c>
      <c r="H4" s="36" t="s">
        <v>59</v>
      </c>
      <c r="O4" s="44" t="s">
        <v>105</v>
      </c>
    </row>
    <row r="5" spans="1:15" x14ac:dyDescent="0.35">
      <c r="A5" t="s">
        <v>62</v>
      </c>
      <c r="B5" s="26">
        <v>0.01</v>
      </c>
      <c r="C5" t="s">
        <v>42</v>
      </c>
      <c r="E5" s="39"/>
      <c r="F5" s="39">
        <v>1E-3</v>
      </c>
      <c r="G5" t="s">
        <v>63</v>
      </c>
      <c r="H5" t="s">
        <v>61</v>
      </c>
      <c r="O5" s="44" t="s">
        <v>106</v>
      </c>
    </row>
    <row r="6" spans="1:15" x14ac:dyDescent="0.35">
      <c r="A6" t="s">
        <v>62</v>
      </c>
      <c r="B6" s="34">
        <v>5.0000000000000001E-3</v>
      </c>
      <c r="C6" t="s">
        <v>42</v>
      </c>
      <c r="D6" s="39">
        <v>6.0000000000000001E-3</v>
      </c>
      <c r="E6" s="37">
        <v>6</v>
      </c>
      <c r="F6" s="39">
        <f>Table25[[#This Row],[SD]]/SQRT(Table25[[#This Row],[N]])</f>
        <v>2.4494897427831783E-3</v>
      </c>
      <c r="G6" t="s">
        <v>63</v>
      </c>
      <c r="H6" t="s">
        <v>66</v>
      </c>
      <c r="O6" s="44" t="s">
        <v>107</v>
      </c>
    </row>
    <row r="7" spans="1:15" x14ac:dyDescent="0.35">
      <c r="A7" t="s">
        <v>67</v>
      </c>
      <c r="B7" s="26">
        <v>0.77</v>
      </c>
      <c r="C7" t="s">
        <v>42</v>
      </c>
      <c r="F7" s="26">
        <v>0.02</v>
      </c>
      <c r="G7" t="s">
        <v>69</v>
      </c>
      <c r="H7" t="s">
        <v>70</v>
      </c>
    </row>
    <row r="8" spans="1:15" x14ac:dyDescent="0.35">
      <c r="A8" t="s">
        <v>68</v>
      </c>
      <c r="B8" s="26">
        <f>1-B7</f>
        <v>0.22999999999999998</v>
      </c>
      <c r="C8" t="s">
        <v>42</v>
      </c>
      <c r="F8" s="26">
        <v>0.02</v>
      </c>
      <c r="G8" t="s">
        <v>69</v>
      </c>
      <c r="H8" t="s">
        <v>70</v>
      </c>
    </row>
    <row r="9" spans="1:15" x14ac:dyDescent="0.35">
      <c r="A9" t="s">
        <v>71</v>
      </c>
      <c r="B9" s="34">
        <v>1.4999999999999999E-2</v>
      </c>
      <c r="C9" t="s">
        <v>42</v>
      </c>
      <c r="F9" s="34">
        <v>2.3999999999999998E-3</v>
      </c>
      <c r="G9" t="s">
        <v>69</v>
      </c>
      <c r="H9" t="s">
        <v>70</v>
      </c>
    </row>
    <row r="10" spans="1:15" x14ac:dyDescent="0.35">
      <c r="A10" t="s">
        <v>76</v>
      </c>
      <c r="B10" s="26">
        <v>0.35</v>
      </c>
      <c r="C10" t="s">
        <v>42</v>
      </c>
      <c r="G10" t="s">
        <v>72</v>
      </c>
      <c r="H10" t="s">
        <v>70</v>
      </c>
    </row>
    <row r="14" spans="1:15" x14ac:dyDescent="0.35">
      <c r="F14" s="34"/>
      <c r="G14" s="34"/>
    </row>
    <row r="15" spans="1:15" x14ac:dyDescent="0.35">
      <c r="F15" s="47"/>
      <c r="G15" s="48"/>
    </row>
    <row r="20" spans="3:5" x14ac:dyDescent="0.35">
      <c r="C20" s="26"/>
      <c r="E20" s="26"/>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
  <sheetViews>
    <sheetView zoomScale="115" zoomScaleNormal="115" workbookViewId="0">
      <selection sqref="A1:M4"/>
    </sheetView>
  </sheetViews>
  <sheetFormatPr defaultRowHeight="14.5" x14ac:dyDescent="0.35"/>
  <cols>
    <col min="1" max="1" width="29.1796875" customWidth="1"/>
    <col min="2" max="2" width="23.26953125" customWidth="1"/>
    <col min="7" max="7" width="73.7265625" customWidth="1"/>
  </cols>
  <sheetData>
    <row r="1" spans="1:13" x14ac:dyDescent="0.35">
      <c r="A1" t="s">
        <v>7</v>
      </c>
      <c r="B1" s="45" t="s">
        <v>78</v>
      </c>
      <c r="C1" t="s">
        <v>54</v>
      </c>
      <c r="D1" t="s">
        <v>55</v>
      </c>
      <c r="E1" t="s">
        <v>64</v>
      </c>
      <c r="F1" t="s">
        <v>65</v>
      </c>
      <c r="G1" t="s">
        <v>56</v>
      </c>
      <c r="M1" s="35" t="s">
        <v>113</v>
      </c>
    </row>
    <row r="2" spans="1:13" x14ac:dyDescent="0.35">
      <c r="A2" t="s">
        <v>80</v>
      </c>
      <c r="B2" s="43">
        <v>7.6E-3</v>
      </c>
      <c r="C2" s="26" t="s">
        <v>42</v>
      </c>
      <c r="D2" s="39">
        <v>5.3E-3</v>
      </c>
      <c r="E2">
        <v>227</v>
      </c>
      <c r="F2" s="41">
        <f>Table258[[#This Row],[SD]]/SQRT(Table258[[#This Row],[N]])</f>
        <v>3.5177335514798513E-4</v>
      </c>
      <c r="G2" t="s">
        <v>114</v>
      </c>
      <c r="M2" s="44" t="s">
        <v>112</v>
      </c>
    </row>
    <row r="3" spans="1:13" x14ac:dyDescent="0.35">
      <c r="A3" t="s">
        <v>77</v>
      </c>
      <c r="B3" s="42">
        <v>8.6999999999999994E-3</v>
      </c>
      <c r="C3" t="s">
        <v>42</v>
      </c>
      <c r="D3" s="39">
        <v>3.0000000000000001E-3</v>
      </c>
      <c r="F3" s="39">
        <v>3.0000000000000001E-3</v>
      </c>
      <c r="G3" t="s">
        <v>114</v>
      </c>
      <c r="M3" s="44" t="s">
        <v>110</v>
      </c>
    </row>
    <row r="4" spans="1:13" x14ac:dyDescent="0.35">
      <c r="A4" t="s">
        <v>79</v>
      </c>
      <c r="B4" s="34">
        <v>8.3000000000000001E-3</v>
      </c>
      <c r="C4" t="s">
        <v>42</v>
      </c>
      <c r="D4" s="39">
        <v>7.7000000000000002E-3</v>
      </c>
      <c r="E4" s="37">
        <v>111</v>
      </c>
      <c r="F4" s="41">
        <f>Table258[[#This Row],[SD]]/SQRT(Table258[[#This Row],[N]])</f>
        <v>7.3085165672942434E-4</v>
      </c>
      <c r="G4" t="s">
        <v>114</v>
      </c>
      <c r="M4" s="44" t="s">
        <v>111</v>
      </c>
    </row>
    <row r="7" spans="1:13" x14ac:dyDescent="0.35">
      <c r="B7" s="26"/>
      <c r="F7" s="26"/>
    </row>
    <row r="8" spans="1:13" x14ac:dyDescent="0.35">
      <c r="B8" s="26"/>
      <c r="F8" s="26"/>
    </row>
    <row r="9" spans="1:13" x14ac:dyDescent="0.35">
      <c r="B9" s="34"/>
      <c r="F9" s="34"/>
    </row>
    <row r="10" spans="1:13" x14ac:dyDescent="0.35">
      <c r="B10" s="2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zoomScaleNormal="100" workbookViewId="0">
      <selection activeCell="E18" sqref="E18"/>
    </sheetView>
  </sheetViews>
  <sheetFormatPr defaultRowHeight="14.5" x14ac:dyDescent="0.35"/>
  <cols>
    <col min="1" max="6" width="11" customWidth="1"/>
  </cols>
  <sheetData>
    <row r="1" spans="1:13" x14ac:dyDescent="0.35">
      <c r="A1" t="s">
        <v>26</v>
      </c>
      <c r="B1" t="s">
        <v>82</v>
      </c>
      <c r="C1" t="s">
        <v>50</v>
      </c>
      <c r="D1" t="s">
        <v>86</v>
      </c>
      <c r="E1" t="s">
        <v>87</v>
      </c>
      <c r="F1" t="s">
        <v>90</v>
      </c>
      <c r="G1" t="s">
        <v>7</v>
      </c>
      <c r="J1" t="s">
        <v>100</v>
      </c>
      <c r="M1" s="35" t="s">
        <v>7</v>
      </c>
    </row>
    <row r="2" spans="1:13" x14ac:dyDescent="0.35">
      <c r="A2" t="s">
        <v>92</v>
      </c>
      <c r="B2" t="s">
        <v>85</v>
      </c>
      <c r="C2" s="40">
        <v>20.249999999999996</v>
      </c>
      <c r="D2" s="40">
        <v>8.1666666666666661</v>
      </c>
      <c r="E2" s="40">
        <v>9</v>
      </c>
      <c r="F2" s="40">
        <v>3.0833333333333335</v>
      </c>
      <c r="G2" t="s">
        <v>94</v>
      </c>
      <c r="M2" s="44" t="s">
        <v>106</v>
      </c>
    </row>
    <row r="3" spans="1:13" x14ac:dyDescent="0.35">
      <c r="A3" t="s">
        <v>93</v>
      </c>
      <c r="B3" t="s">
        <v>85</v>
      </c>
      <c r="C3" s="40">
        <v>17.970401691331894</v>
      </c>
      <c r="D3" s="40">
        <v>7.0824524312896333</v>
      </c>
      <c r="E3" s="40">
        <v>8.2241014799154168</v>
      </c>
      <c r="F3" s="40">
        <v>2.6638477801268432</v>
      </c>
      <c r="G3" t="s">
        <v>94</v>
      </c>
      <c r="M3" s="44" t="s">
        <v>107</v>
      </c>
    </row>
    <row r="4" spans="1:13" x14ac:dyDescent="0.35">
      <c r="A4" t="s">
        <v>84</v>
      </c>
      <c r="B4" t="s">
        <v>85</v>
      </c>
      <c r="C4" s="40">
        <v>19.577167019027485</v>
      </c>
      <c r="D4" s="40">
        <v>6.913319238900633</v>
      </c>
      <c r="E4" s="40">
        <v>8.456659619450317</v>
      </c>
      <c r="F4" s="40">
        <v>4.207188160676532</v>
      </c>
      <c r="G4" t="s">
        <v>94</v>
      </c>
      <c r="M4" s="44" t="s">
        <v>108</v>
      </c>
    </row>
    <row r="5" spans="1:13" x14ac:dyDescent="0.35">
      <c r="A5" t="s">
        <v>84</v>
      </c>
      <c r="B5" t="s">
        <v>85</v>
      </c>
      <c r="C5">
        <v>21</v>
      </c>
      <c r="D5">
        <v>8</v>
      </c>
      <c r="E5">
        <v>9.5</v>
      </c>
      <c r="F5">
        <v>3.5</v>
      </c>
      <c r="G5" t="s">
        <v>83</v>
      </c>
      <c r="M5" s="44" t="s">
        <v>109</v>
      </c>
    </row>
    <row r="6" spans="1:13" x14ac:dyDescent="0.35">
      <c r="A6" t="s">
        <v>88</v>
      </c>
      <c r="B6" t="s">
        <v>85</v>
      </c>
      <c r="C6">
        <v>18</v>
      </c>
      <c r="D6">
        <v>6.5</v>
      </c>
      <c r="E6">
        <v>7.5</v>
      </c>
      <c r="F6">
        <v>4</v>
      </c>
      <c r="G6" t="s">
        <v>83</v>
      </c>
    </row>
    <row r="7" spans="1:13" x14ac:dyDescent="0.35">
      <c r="A7" t="s">
        <v>89</v>
      </c>
      <c r="B7" t="s">
        <v>85</v>
      </c>
      <c r="C7">
        <v>31.5</v>
      </c>
      <c r="D7">
        <v>6.5</v>
      </c>
      <c r="E7">
        <v>4.5</v>
      </c>
      <c r="F7">
        <v>17.5</v>
      </c>
      <c r="G7" t="s">
        <v>83</v>
      </c>
    </row>
    <row r="8" spans="1:13" x14ac:dyDescent="0.35">
      <c r="A8" t="s">
        <v>91</v>
      </c>
      <c r="B8" t="s">
        <v>85</v>
      </c>
      <c r="C8">
        <v>19.5</v>
      </c>
      <c r="D8">
        <v>9.5</v>
      </c>
      <c r="E8">
        <v>7</v>
      </c>
      <c r="F8">
        <v>3</v>
      </c>
      <c r="G8" t="s">
        <v>83</v>
      </c>
    </row>
    <row r="9" spans="1:13" x14ac:dyDescent="0.35">
      <c r="A9" t="s">
        <v>96</v>
      </c>
      <c r="B9" t="s">
        <v>95</v>
      </c>
      <c r="C9">
        <v>25</v>
      </c>
      <c r="D9">
        <v>9</v>
      </c>
      <c r="E9">
        <v>14</v>
      </c>
      <c r="F9">
        <v>2</v>
      </c>
      <c r="G9" t="s">
        <v>83</v>
      </c>
    </row>
    <row r="10" spans="1:13" x14ac:dyDescent="0.35">
      <c r="A10" t="s">
        <v>97</v>
      </c>
      <c r="B10" t="s">
        <v>95</v>
      </c>
      <c r="C10">
        <v>48</v>
      </c>
      <c r="D10">
        <v>33</v>
      </c>
      <c r="E10">
        <v>10</v>
      </c>
      <c r="F10">
        <v>5</v>
      </c>
      <c r="G10" t="s">
        <v>83</v>
      </c>
    </row>
    <row r="11" spans="1:13" x14ac:dyDescent="0.35">
      <c r="A11" t="s">
        <v>98</v>
      </c>
      <c r="B11" t="s">
        <v>95</v>
      </c>
      <c r="C11">
        <v>24</v>
      </c>
      <c r="D11">
        <v>9</v>
      </c>
      <c r="E11">
        <v>12</v>
      </c>
      <c r="F11">
        <v>3</v>
      </c>
      <c r="G11" t="s">
        <v>83</v>
      </c>
    </row>
    <row r="12" spans="1:13" x14ac:dyDescent="0.35">
      <c r="A12" t="s">
        <v>99</v>
      </c>
      <c r="B12" t="s">
        <v>95</v>
      </c>
      <c r="C12">
        <v>18</v>
      </c>
      <c r="D12">
        <v>2</v>
      </c>
      <c r="E12">
        <v>12</v>
      </c>
      <c r="F12">
        <v>4</v>
      </c>
      <c r="G12" t="s">
        <v>83</v>
      </c>
    </row>
    <row r="13" spans="1:13" x14ac:dyDescent="0.35">
      <c r="A13" t="s">
        <v>101</v>
      </c>
      <c r="B13" t="s">
        <v>95</v>
      </c>
      <c r="C13" s="37">
        <v>32</v>
      </c>
      <c r="G13" s="36" t="s">
        <v>73</v>
      </c>
    </row>
    <row r="14" spans="1:13" x14ac:dyDescent="0.35">
      <c r="A14" t="s">
        <v>101</v>
      </c>
      <c r="B14" t="s">
        <v>95</v>
      </c>
      <c r="C14" s="37">
        <v>40</v>
      </c>
      <c r="G14" s="36" t="s">
        <v>59</v>
      </c>
    </row>
    <row r="15" spans="1:13" x14ac:dyDescent="0.35">
      <c r="A15" t="s">
        <v>102</v>
      </c>
      <c r="B15" t="s">
        <v>95</v>
      </c>
      <c r="C15" s="38">
        <v>17</v>
      </c>
      <c r="G15" s="36" t="s">
        <v>59</v>
      </c>
    </row>
    <row r="22" spans="6:7" x14ac:dyDescent="0.35">
      <c r="F22">
        <v>27.3</v>
      </c>
      <c r="G22">
        <f>F22*1.2</f>
        <v>32.76</v>
      </c>
    </row>
    <row r="23" spans="6:7" x14ac:dyDescent="0.35">
      <c r="G23">
        <f>F22/1.2</f>
        <v>22.75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
  <sheetViews>
    <sheetView tabSelected="1" workbookViewId="0">
      <selection activeCell="C3" sqref="C3"/>
    </sheetView>
  </sheetViews>
  <sheetFormatPr defaultRowHeight="14.5" x14ac:dyDescent="0.35"/>
  <cols>
    <col min="1" max="1" width="22" bestFit="1" customWidth="1"/>
    <col min="4" max="4" width="98.453125" bestFit="1" customWidth="1"/>
    <col min="5" max="5" width="31.453125" bestFit="1" customWidth="1"/>
  </cols>
  <sheetData>
    <row r="1" spans="1:10" x14ac:dyDescent="0.35">
      <c r="A1" t="s">
        <v>81</v>
      </c>
      <c r="B1" s="45" t="s">
        <v>115</v>
      </c>
      <c r="C1" t="s">
        <v>55</v>
      </c>
      <c r="D1" t="s">
        <v>56</v>
      </c>
      <c r="E1" t="s">
        <v>7</v>
      </c>
      <c r="J1" s="35" t="s">
        <v>113</v>
      </c>
    </row>
    <row r="2" spans="1:10" x14ac:dyDescent="0.35">
      <c r="A2" t="s">
        <v>117</v>
      </c>
      <c r="B2" s="38">
        <v>31.5</v>
      </c>
      <c r="C2" s="46">
        <v>3.5</v>
      </c>
      <c r="D2" t="s">
        <v>118</v>
      </c>
      <c r="E2" t="s">
        <v>116</v>
      </c>
      <c r="J2" s="44" t="s">
        <v>119</v>
      </c>
    </row>
    <row r="3" spans="1:10" x14ac:dyDescent="0.35">
      <c r="A3" t="s">
        <v>126</v>
      </c>
      <c r="B3" s="37">
        <v>44</v>
      </c>
      <c r="C3" s="46">
        <v>25</v>
      </c>
      <c r="D3" t="s">
        <v>127</v>
      </c>
      <c r="E3" t="s">
        <v>122</v>
      </c>
      <c r="J3" s="44" t="s">
        <v>120</v>
      </c>
    </row>
    <row r="4" spans="1:10" x14ac:dyDescent="0.35">
      <c r="B4" s="34"/>
      <c r="C4" s="39"/>
      <c r="J4" t="s">
        <v>121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Cell_number</vt:lpstr>
      <vt:lpstr>Cellular_volume</vt:lpstr>
      <vt:lpstr>Bronchi_epithelial_volume</vt:lpstr>
      <vt:lpstr>Macrophages_turnover</vt:lpstr>
      <vt:lpstr>Bronchi_turnover</vt:lpstr>
      <vt:lpstr>Cell_cycle_times</vt:lpstr>
      <vt:lpstr>Mice_turnover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2019-10-31T12:33:16Z</dcterms:modified>
</cp:coreProperties>
</file>