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tabRatio="796" activeTab="4"/>
  </bookViews>
  <sheets>
    <sheet name="Total_lymph_data" sheetId="11" r:id="rId1"/>
    <sheet name="Lymph_mass" sheetId="22" r:id="rId2"/>
    <sheet name="T_Cell_Distribution" sheetId="10" r:id="rId3"/>
    <sheet name="T_cells_proliferation" sheetId="8" r:id="rId4"/>
    <sheet name="Thymus_data" sheetId="6" r:id="rId5"/>
    <sheet name="Thymus_data_mice" sheetId="7" state="hidden" r:id="rId6"/>
    <sheet name="B_progenitors_turnover" sheetId="16" r:id="rId7"/>
    <sheet name="BM_cellularity" sheetId="14" r:id="rId8"/>
    <sheet name="BM_Bcell_progenitor" sheetId="13" state="hidden" r:id="rId9"/>
    <sheet name="B_transitional" sheetId="17" r:id="rId10"/>
    <sheet name="B_cells_proliferation" sheetId="18" r:id="rId11"/>
    <sheet name="B_Cell_Distribution" sheetId="20" r:id="rId12"/>
    <sheet name="Timmermans et al., 2016" sheetId="21" state="hidden" r:id="rId13"/>
    <sheet name="B-T-NK distribution" sheetId="1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2" i="14"/>
  <c r="C7" i="22"/>
  <c r="B7" i="22"/>
  <c r="C6" i="22"/>
  <c r="B3" i="22"/>
  <c r="B6" i="22"/>
  <c r="C3" i="22"/>
  <c r="B11" i="21"/>
  <c r="D2" i="21"/>
  <c r="D3" i="21"/>
  <c r="D4" i="21"/>
  <c r="D5" i="21"/>
  <c r="D6" i="21"/>
  <c r="D7" i="21"/>
  <c r="D8" i="21"/>
  <c r="D9" i="21"/>
  <c r="D10" i="21"/>
  <c r="D11" i="21"/>
  <c r="E10" i="21"/>
  <c r="E9" i="21"/>
  <c r="E8" i="21"/>
  <c r="E7" i="21"/>
  <c r="E6" i="21"/>
  <c r="E5" i="21"/>
  <c r="E4" i="21"/>
  <c r="E3" i="21"/>
  <c r="E2" i="21"/>
  <c r="D3" i="20"/>
  <c r="D8" i="18"/>
  <c r="D7" i="18"/>
  <c r="D6" i="18"/>
  <c r="D5" i="18"/>
  <c r="D4" i="18"/>
  <c r="D3" i="18"/>
  <c r="D2" i="18"/>
  <c r="C5" i="17"/>
  <c r="B5" i="17"/>
  <c r="B8" i="17"/>
  <c r="B7" i="17"/>
  <c r="B2" i="17"/>
  <c r="C3" i="17"/>
  <c r="B3" i="17"/>
  <c r="C10" i="16"/>
  <c r="D15" i="16"/>
  <c r="C15" i="16"/>
  <c r="C5" i="16"/>
  <c r="B2" i="16"/>
  <c r="C17" i="16"/>
  <c r="C16" i="16"/>
  <c r="C18" i="16"/>
  <c r="D12" i="16"/>
  <c r="C12" i="16"/>
  <c r="D11" i="16"/>
  <c r="C11" i="16"/>
  <c r="D10" i="16"/>
  <c r="D9" i="16"/>
  <c r="C9" i="16"/>
  <c r="D8" i="16"/>
  <c r="C8" i="16"/>
  <c r="D7" i="16"/>
  <c r="C7" i="16"/>
  <c r="D6" i="16"/>
  <c r="C6" i="16"/>
  <c r="B5" i="16"/>
  <c r="B4" i="16"/>
  <c r="C4" i="16"/>
  <c r="B3" i="16"/>
  <c r="C3" i="16"/>
  <c r="C2" i="16"/>
  <c r="B7" i="6"/>
  <c r="B8" i="6"/>
  <c r="B9" i="6"/>
  <c r="B3" i="14"/>
  <c r="B2" i="14"/>
  <c r="H5" i="13"/>
  <c r="H4" i="13"/>
  <c r="H3" i="13"/>
  <c r="H2" i="13"/>
  <c r="G5" i="13"/>
  <c r="G4" i="13"/>
  <c r="G3" i="13"/>
  <c r="G2" i="13"/>
  <c r="B10" i="6"/>
  <c r="D5" i="6"/>
  <c r="B5" i="6"/>
  <c r="B3" i="6"/>
  <c r="B2" i="6"/>
  <c r="B2" i="11"/>
  <c r="B3" i="11"/>
  <c r="D3" i="11"/>
  <c r="B9" i="12"/>
  <c r="C2" i="12"/>
  <c r="C3" i="12"/>
  <c r="C4" i="12"/>
  <c r="C5" i="12"/>
  <c r="C6" i="12"/>
  <c r="C7" i="12"/>
  <c r="C8" i="12"/>
  <c r="C9" i="12"/>
  <c r="F9" i="10"/>
  <c r="F8" i="10"/>
  <c r="F6" i="10"/>
  <c r="F5" i="10"/>
  <c r="F4" i="10"/>
  <c r="C2" i="8"/>
  <c r="C3" i="8"/>
  <c r="C4" i="8"/>
  <c r="C5" i="8"/>
  <c r="C6" i="8"/>
  <c r="C7" i="8"/>
  <c r="C8" i="8"/>
  <c r="C9" i="8"/>
  <c r="C10" i="8"/>
  <c r="C11" i="8"/>
  <c r="C14" i="8"/>
  <c r="C15" i="8"/>
  <c r="C16" i="8"/>
  <c r="C17" i="8"/>
  <c r="C13" i="8"/>
  <c r="D13" i="8"/>
  <c r="C12" i="8"/>
  <c r="D12" i="8"/>
  <c r="F2" i="8"/>
  <c r="F3" i="8"/>
  <c r="F4" i="8"/>
  <c r="F5" i="8"/>
  <c r="F5" i="7"/>
  <c r="E5" i="7"/>
  <c r="B5" i="7"/>
  <c r="F3" i="7"/>
  <c r="E3" i="7"/>
  <c r="C3" i="7"/>
  <c r="B3" i="7"/>
  <c r="D9" i="12"/>
  <c r="E9" i="12"/>
  <c r="F9" i="12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d for migration from cortex to medulla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complete turnover within 2-3 weeks.</t>
        </r>
      </text>
    </comment>
  </commentList>
</comments>
</file>

<file path=xl/sharedStrings.xml><?xml version="1.0" encoding="utf-8"?>
<sst xmlns="http://schemas.openxmlformats.org/spreadsheetml/2006/main" count="573" uniqueCount="317">
  <si>
    <t>sources:</t>
  </si>
  <si>
    <t>SD</t>
  </si>
  <si>
    <t>source</t>
  </si>
  <si>
    <t>[3]</t>
  </si>
  <si>
    <t>[5]</t>
  </si>
  <si>
    <t>daily production of thymocytes (cell/d)</t>
  </si>
  <si>
    <t>daily output of Thymus (as % of cells)</t>
  </si>
  <si>
    <t>production rate of SP (as % of DP rate)</t>
  </si>
  <si>
    <t>daily output of Thymus(cell/d)</t>
  </si>
  <si>
    <t>total cells in Thymus</t>
  </si>
  <si>
    <t>turnover of (most) thymocytes [d]</t>
  </si>
  <si>
    <t>mean life span of CD4+CD8+(d)</t>
  </si>
  <si>
    <t>lag in the entry to mature (CD3+) CD4+CD8- (d)</t>
  </si>
  <si>
    <t>mean time in thymus of SP(d)</t>
  </si>
  <si>
    <t>#</t>
  </si>
  <si>
    <t>[1]</t>
  </si>
  <si>
    <t>Trepel F. Number and distribution of lymphocytes in man. A critical analysis. Klin Wochenschr 1974;52:511–5.</t>
  </si>
  <si>
    <t>[2]</t>
  </si>
  <si>
    <t>Westermann J, Pabst R. Lymphocyte subsets in the blood: a diagnostic window on the lymphoid system? Immunol Today 1990;11:406–10.</t>
  </si>
  <si>
    <t xml:space="preserve">	Scollay RG, Butcher EC, Weissman IL. Thymus cell migration Quantitative aspects of cellular traffic from the thymus to the periphery in mice. Eur J Immunol 1980;10:210–8.</t>
  </si>
  <si>
    <t>[4]</t>
  </si>
  <si>
    <t xml:space="preserve">	Scollay R, Smith J, Stauffer V. Dynamics of Early T Cells : Prothymocyte Migration and Proliferation in the Adult Mouse Thymus. Immunol Reveiws 1986.</t>
  </si>
  <si>
    <t xml:space="preserve">	Penit C. In vivo thymocyte maturation . BUdR labeling of cycling thymocytes and phenotypic analysis of their progeny support the single lineage. J Immunol 1986;137:2115–21.</t>
  </si>
  <si>
    <t>[6]</t>
  </si>
  <si>
    <t xml:space="preserve">	Pabst R. The spleen in lymphocyte migration. Immunol Today 1988;9:43–5.</t>
  </si>
  <si>
    <t>[7]</t>
  </si>
  <si>
    <t xml:space="preserve">	Egerton M, Scollay R, Shortman K. Kinetics of mature T-cell development in the thymus. Proc Natl Acad Sci 1990;87:2579–82. doi:10.1073/pnas.87.7.2579.</t>
  </si>
  <si>
    <t>[8]</t>
  </si>
  <si>
    <t xml:space="preserve">	Huesmann M. Kinetics and Efficacy of Positive Selection in the Thymus of Normal and T Cell Receptor Transgenic Mice. Cell 1991;66:533–40.</t>
  </si>
  <si>
    <t>[9]</t>
  </si>
  <si>
    <t xml:space="preserve">	Murphy K, Weaver C. Janeway ’s Immunobiology. 9th ed. New York and London: Garland Science; 2016.</t>
  </si>
  <si>
    <t>[10]</t>
  </si>
  <si>
    <t xml:space="preserve">	Yates AJ. Theories and quantification of thymic selection. Front Immunol 2014;5:1–15. doi:10.3389/fimmu.2014.00013.</t>
  </si>
  <si>
    <t>[11]</t>
  </si>
  <si>
    <t xml:space="preserve">	Bains I, Thiébaut R, Yates AJ, Bains I, Thie R, Yates AJ, et al. Quantifying Thymic Export : Combining Models of Naive T Cell Proliferation and TCR Excision Circle Dynamics Gives an Explicit Measure of Thymic Output 1. J Immunol 2009;183:4329–36. doi:10.4049/jimmunol.0900743.</t>
  </si>
  <si>
    <t>[12]</t>
  </si>
  <si>
    <t xml:space="preserve">	Braber I Den, Mugwagwa T, Vrisekoop N, Westera L, Mogling R, Willems N, et al. Maintenance of Peripheral Naive T Cells Is Sustained by Thymus Output in Mice but Not Humans. Immun Naive 2012;36:288–97. doi:10.1016/j.immuni.2012.02.006.</t>
  </si>
  <si>
    <t>[13]</t>
  </si>
  <si>
    <t xml:space="preserve">	Westera L, Hoeven V Van, Drylewicz J, Spierenburg G, Velzen JF Van, Boer RJ De. Lymphocyte maintenance during healthy aging requires no substantial alterations in cellular turnover. Aging Cell 2015;14:219–27. doi:10.1111/acel.12311.</t>
  </si>
  <si>
    <t>[14]</t>
  </si>
  <si>
    <t xml:space="preserve">	Westera L, Drylewicz J, Braber I Den, Mugwagwa T, Maas I Van Der, Kwast L, et al. Closing the gap between T-cell life span estimates from stable isotope-labeling studies in mice and humans. Blood 2013;122:2205–13. doi:10.1182/blood-2013-03-488411.L.W.</t>
  </si>
  <si>
    <t>[15]</t>
  </si>
  <si>
    <t xml:space="preserve">	Vrisekoop N, Braber I Den, Boer AB De, Ruiter AFC, Crabben SN Van Der, Schrijver EHR, et al. Sparse production but preferential incorporation of recently produced naı ¨ ve T cells in the human peripheral pool. PNAS 2008;105:6115–20.</t>
  </si>
  <si>
    <t>[16]</t>
  </si>
  <si>
    <t xml:space="preserve">	Asquith B, Zhang Y, Mosley AJ, Lara CM De, Wallace DL, Worth A, et al. In vivo T lymphocyte dynamics in humans and the impact of human T-lymphotropic virus 1 infection. PNAS 2007;104:8035–40.</t>
  </si>
  <si>
    <t>[17]</t>
  </si>
  <si>
    <t xml:space="preserve">	Macallan DC, Wallace DL, Zhang Y, Ghattas H, Asquith B, Lara C De, et al. B-cell kinetics in humans : rapid turnover of peripheral blood memory cells B-cell kinetics in humans : rapid turnover of peripheral blood memory cells. Blood 2005;105:3633–40. doi:10.1182/blood-2004-09-3740.</t>
  </si>
  <si>
    <t>[18]</t>
  </si>
  <si>
    <t>Macallan DC, Asquith B, Irvine AJ, Wallace DL, Worth A, Ghattas H, et al. Measurement and modeling of human T cell kinetics. Eur J Immunol 2003;33:2316–26. doi:10.1002/eji.200323763.</t>
  </si>
  <si>
    <t>[19]</t>
  </si>
  <si>
    <t xml:space="preserve">	De Boer RJ, Mohri H, Ho DD, Perelson AS. Turnover Rates of B Cells, T Cells, and NK Cells in Simian Immunodeficiency Virus-Infected and Uninfected Rhesus Macaques. J Immunol 2003;170:2479–87. doi:10.4049/jimmunol.170.5.2479.</t>
  </si>
  <si>
    <t>[20]</t>
  </si>
  <si>
    <t xml:space="preserve">	Mohri H, Perelson AS, Tung K, Ribeiro RM, Ramratnam B, Markowitz M, et al. Increased Turnover of T Lymphocytes in HIV-1 Infection and Its Reduction by Antiretroviral Therapy. JEM 2001;194:1277–87.</t>
  </si>
  <si>
    <t>[21]</t>
  </si>
  <si>
    <t>Murray JM, Kaufmann GR, Hodgkin PD, Lewin SR, Kelleher AD, Davenport MP, et al. Naive T cells are maintained by thymic output in early ages but by proliferation without phenotypic change after age twenty. Immunol Cell Biol 2003;81:487–95.</t>
  </si>
  <si>
    <t>[22]</t>
  </si>
  <si>
    <t>Marušić M, Turkalj-Kljajić M, Petrovečki M, Užarević B, Rudolf M, Batinić D, et al. Indirect demonstration of the lifetime function of human thymus. Clin Exp Immunol 1998;111:450–6. doi:10.1046/j.1365-2249.1998.00470.x.</t>
  </si>
  <si>
    <t xml:space="preserve"> Scollay et al., 1980</t>
  </si>
  <si>
    <t>ab.</t>
  </si>
  <si>
    <t>Penit, 1986</t>
  </si>
  <si>
    <t>Egerton et al., 1990</t>
  </si>
  <si>
    <t>Huesmannof , 1991</t>
  </si>
  <si>
    <t>Murphy &amp;  Weaver,2016</t>
  </si>
  <si>
    <t>Egerton et al., 1990 and Huesmannof , 1991</t>
  </si>
  <si>
    <t>*data from mouse</t>
  </si>
  <si>
    <t>cells</t>
  </si>
  <si>
    <t>marker</t>
  </si>
  <si>
    <t xml:space="preserve">Cell number (per mul blood) median </t>
  </si>
  <si>
    <t>total production in blood (10^6)</t>
  </si>
  <si>
    <t>Total production (10^6 cells per day) median</t>
  </si>
  <si>
    <t>Total production (10^6 cells per day) range</t>
  </si>
  <si>
    <t>Thymic production (10^6 cells per day)</t>
  </si>
  <si>
    <t>(20–137)</t>
  </si>
  <si>
    <t>(15–39)</t>
  </si>
  <si>
    <t>(221–911)</t>
  </si>
  <si>
    <t>(70–227)</t>
  </si>
  <si>
    <t>C4+CD45RO+</t>
  </si>
  <si>
    <t>C8+CD45RO+</t>
  </si>
  <si>
    <t>C4+CD45RA+</t>
  </si>
  <si>
    <t>C8+CD45RA+</t>
  </si>
  <si>
    <t xml:space="preserve">	Vrisekoop N, Braber I Den, Boer AB De, Ruiter AFC, Crabben SN Van Der, Schrijver EHR, et al. Sparse production but preferential incorporation of recently produced naı ve T cells in the human peripheral pool. PNAS 2008;105:6115–20.</t>
  </si>
  <si>
    <t>C4+CD45RA+CD62L+</t>
  </si>
  <si>
    <t>C8+CD45RA+CD62L+</t>
  </si>
  <si>
    <t>50?</t>
  </si>
  <si>
    <t>proliferation rate (% per day) median</t>
  </si>
  <si>
    <t>lifespan (days)</t>
  </si>
  <si>
    <t>ab</t>
  </si>
  <si>
    <t>Westra et al., 2015</t>
  </si>
  <si>
    <t>Westra et al., 2013</t>
  </si>
  <si>
    <t xml:space="preserve"> Vrisekoop et al., 2008</t>
  </si>
  <si>
    <t>Borghans JAM, Tesselaar K, de Boer RJ. Current best estimates for the average lifespans of mouse and human leukocytes: reviewing two decades of deuterium-labeling experiments. Immunol Rev. 2018;285: 233–248. doi:10.1111/imr.12693</t>
  </si>
  <si>
    <t>Vrisekoop N, Drylewicz J, Van Gent R, Mugwagwa T, Van Lelyveld SFL, Veel E, et al. Quantification of naive and memory T-cell turnover during HIV-1 infection. Aids. 2015;29: 2071–2080. doi:10.1097/QAD.0000000000000822</t>
  </si>
  <si>
    <t>Hellerstein MK, Hoh RA, Hanley MB, Cesar D, Lee D, Neese RA, et al. Subpopulations of long-lived and short-lived T cells in advanced HIV-1 infection. J Clin Invest. 2003;112: 956–966. doi:10.1172/JCI200317533</t>
  </si>
  <si>
    <t>Borghans et al., 2018</t>
  </si>
  <si>
    <t xml:space="preserve"> Vrisekoop et al., 2015</t>
  </si>
  <si>
    <t>Hellerstein et al., 2003</t>
  </si>
  <si>
    <t>Scollay et al., 1980</t>
  </si>
  <si>
    <t>B</t>
  </si>
  <si>
    <t>NK</t>
  </si>
  <si>
    <t>CD3+CD4-CD8+</t>
  </si>
  <si>
    <t>CD4+Naïve</t>
  </si>
  <si>
    <t>CD4+Memory</t>
  </si>
  <si>
    <t>CD4+Central memory</t>
  </si>
  <si>
    <t>CD3+CD4+CD8-</t>
  </si>
  <si>
    <t>markers</t>
  </si>
  <si>
    <t>62L-45RA+27-28-</t>
  </si>
  <si>
    <t>62L-45RA+/-27+/-28+</t>
  </si>
  <si>
    <t>62L+45RA-27+28+</t>
  </si>
  <si>
    <t>62L+45RA+27+28+</t>
  </si>
  <si>
    <t>CD4+ Effector memory</t>
  </si>
  <si>
    <t>CD4+ EMRA</t>
  </si>
  <si>
    <t>CD8+Naïve</t>
  </si>
  <si>
    <t>CD8+Central memory</t>
  </si>
  <si>
    <t>CD8+ Effector memory</t>
  </si>
  <si>
    <t>CD8+ EMRA</t>
  </si>
  <si>
    <t>Cells</t>
  </si>
  <si>
    <t>Total</t>
  </si>
  <si>
    <t>CD4+</t>
  </si>
  <si>
    <t>CD8+</t>
  </si>
  <si>
    <t>CD8+Memory</t>
  </si>
  <si>
    <t>population</t>
  </si>
  <si>
    <t>subpopulation</t>
  </si>
  <si>
    <t>Apoil PA, Puissant-Lubrano B, Congy-Jolivet N, Peres M, Tkaczuk J, Roubinet F, et al. Reference values for T, B and NK human lymphocyte subpopulations in adults. Data Br. Elsevier Inc.; 2017;12: 400–404. doi:10.1016/j.dib.2017.04.019</t>
  </si>
  <si>
    <t>comment</t>
  </si>
  <si>
    <t>of total T cells</t>
  </si>
  <si>
    <t>of CD+4 cells</t>
  </si>
  <si>
    <t>of CD+8 cells</t>
  </si>
  <si>
    <t>%</t>
  </si>
  <si>
    <t>parameter</t>
  </si>
  <si>
    <t>value</t>
  </si>
  <si>
    <t>units</t>
  </si>
  <si>
    <t>total lymphocytes</t>
  </si>
  <si>
    <t>T cell proportion</t>
  </si>
  <si>
    <t>B cell proportion</t>
  </si>
  <si>
    <t>Trepel, 1974</t>
  </si>
  <si>
    <t>blood</t>
  </si>
  <si>
    <t>lymph nodes</t>
  </si>
  <si>
    <t>spleen</t>
  </si>
  <si>
    <t>thymus</t>
  </si>
  <si>
    <t>bone marrow</t>
  </si>
  <si>
    <t>other tissue</t>
  </si>
  <si>
    <t>tissue</t>
  </si>
  <si>
    <t>total</t>
  </si>
  <si>
    <t>T</t>
  </si>
  <si>
    <t>gut</t>
  </si>
  <si>
    <t>NK cell proportion</t>
  </si>
  <si>
    <t>Trepel F. Number and distribution of lymphocytes in man. A critical analysis. Klin Wochenschr. 1974;52: 511–515. Available: http://link.springer.com/article/10.1007/BF01468720</t>
  </si>
  <si>
    <t xml:space="preserve">J Westermann, Pabst R. Distribution of lymphocyte subsets and natural killer cells in the human body. Clin Investig. 1992;70: 539–44. </t>
  </si>
  <si>
    <t>Di Mascio M, Paik CH, Carrasquillo JA, Maeng J, Jang B, Shin IS, et al. primates Non-Invasive In Vivo Imaging of CD4 Cells in SHIV Infected Non-human Primates Rockville , MD. Blood. 2009;114: 328–338. doi:10.1182/blood-2008-12-192203</t>
  </si>
  <si>
    <t xml:space="preserve">Apostoaei AJ, Trabalka JR. Review, synthesis and application of information on the human lymphatic system to radiation dosimetry for chronic lymphocitic leukemia. Oak Ridge, TN; 2010. </t>
  </si>
  <si>
    <t>soruces:</t>
  </si>
  <si>
    <t>Di Mascio et al., 2009</t>
  </si>
  <si>
    <t>calculation base on:  Westermann and Pabst, 1992 combined with Trepel, 1974. Like the one in Apostoaei and Trabalka, 2010</t>
  </si>
  <si>
    <t>thymus mass</t>
  </si>
  <si>
    <t>g</t>
  </si>
  <si>
    <t>thymocytes density</t>
  </si>
  <si>
    <t>1/g</t>
  </si>
  <si>
    <t>Marušić M, Turkalj-Kljajić M, Petrovečki M, Užarević B, Rudolf M, Batinić D, et al. Indirect demonstration of the lifetime function of human thymus. Clin Exp Immunol. 1998;111: 450–456. doi:10.1046/j.1365-2249.1998.00470.x</t>
  </si>
  <si>
    <t>Snyder WS, Cook MJ, Nasset ES, Karhausen LR, Parry Howells G, Tipton IH. Report of the Task Group on Reference Man [Internet]. Annals of the ICRP/ICRP Publication. Pergamon Press: Oxford; 1975. doi:10.1016/S0074-2740(75)80015-8</t>
  </si>
  <si>
    <t>Marušić et al., 1998</t>
  </si>
  <si>
    <t>Snyder et al., 1975</t>
  </si>
  <si>
    <t>cells/d</t>
  </si>
  <si>
    <t>den Braber et al., 2012</t>
  </si>
  <si>
    <t>-</t>
  </si>
  <si>
    <t xml:space="preserve">Westermann and Pabst, 1992 </t>
  </si>
  <si>
    <t>Thomas-Vaslin et al., 2008</t>
  </si>
  <si>
    <t>Thomas-Vaslin V, Altes HK, de Boer RJ, Klatzmann D. Comprehensive assessment and mathematical modeling of T cell population dynamics and homeostasis. J Immunol. 2008;180: 2240–50. Available: http://www.ncbi.nlm.nih.gov/pubmed/18250431</t>
  </si>
  <si>
    <t>comments</t>
  </si>
  <si>
    <t>ICRP23</t>
  </si>
  <si>
    <t>for adults ~30 years old</t>
  </si>
  <si>
    <t>1/day</t>
  </si>
  <si>
    <t>from mice, compartments model. % of themocytes produced daily that dies in the various stages (most in selection at the double positive stage)</t>
  </si>
  <si>
    <t>from mice, compartments model. The number of thymocytes exported in reletion to the daily doubling rate (it takes more than day to be exported)</t>
  </si>
  <si>
    <t>from mice, compartments model. The number of thymocytes produced daily/total thymocytes</t>
  </si>
  <si>
    <t>computed from multiplication</t>
  </si>
  <si>
    <t>thymus lymphocytes</t>
  </si>
  <si>
    <t>thymic production of CD4+</t>
  </si>
  <si>
    <t>CD4+/CD8+ ratio in Thymus</t>
  </si>
  <si>
    <t>Scollay et al., 1980, Penit, 1986, Egerton et al., 1990</t>
  </si>
  <si>
    <t>exported thymocytes as % of total thymocytes</t>
  </si>
  <si>
    <t xml:space="preserve">thymocytes dying </t>
  </si>
  <si>
    <t>thymocytes exported</t>
  </si>
  <si>
    <t>daily production of thymocytes % of total</t>
  </si>
  <si>
    <t>BM cell compartment</t>
  </si>
  <si>
    <t>rat incidence</t>
  </si>
  <si>
    <t>mitotic</t>
  </si>
  <si>
    <t>late Pro-B cells</t>
  </si>
  <si>
    <t>large Pre-B cells</t>
  </si>
  <si>
    <t>small Pre-B cells</t>
  </si>
  <si>
    <t>mouse incidence</t>
  </si>
  <si>
    <t>earrly + intermediate Pro-B cells</t>
  </si>
  <si>
    <t>mature B cells</t>
  </si>
  <si>
    <t>turnover mouse (%/h)</t>
  </si>
  <si>
    <t>turnover rat(%/h)</t>
  </si>
  <si>
    <t>daily production mouse</t>
  </si>
  <si>
    <t>daily production rat</t>
  </si>
  <si>
    <t xml:space="preserve">Park YH, Osmond DG. Dynamics of early B lymphocyte precursor cells in mouse bone marrow : proliferation of cells containing terminal deoxynucleotidyl transferase. Eur J Immunol. 1989;19: 2139–2144. </t>
  </si>
  <si>
    <t>Deenen GJ, Van Balen I, Opstelten D. In rat B lymphocyte genesis sixty percent is lost from the bone marrow at the transition of nondividing pre‐B cell to sIgM+ B lymphocyte, the stage of Ig light chain gene expression. Eur J Immunol. 1990;20: 557–564. doi:10.1002/eji.183020031</t>
  </si>
  <si>
    <t>Osmond DG. Proliferation kinetics and the lifespan of B cells in central and peripheral lymphoid organs. Curr Opin Immunol. 1991;3: 179–185. doi:10.1016/0952-7915(91)90047-5</t>
  </si>
  <si>
    <t>rib marrow nucleated cells</t>
  </si>
  <si>
    <t>cells/kg</t>
  </si>
  <si>
    <t>Aspirated marrow nucleated cells</t>
  </si>
  <si>
    <t>Lymphocyte nuceleated cells</t>
  </si>
  <si>
    <t>Harrison WJ. The total cellularity of the bone marrow in man. J Clin Pathol 1962;15:254–9.</t>
  </si>
  <si>
    <t>transitional</t>
  </si>
  <si>
    <t>immature death rate</t>
  </si>
  <si>
    <t>transitional death rate</t>
  </si>
  <si>
    <t>type</t>
  </si>
  <si>
    <t>from mice</t>
  </si>
  <si>
    <t xml:space="preserve">immature residence time </t>
  </si>
  <si>
    <t>d</t>
  </si>
  <si>
    <t>Rolink et al.,1998</t>
  </si>
  <si>
    <t>Shahaf et al.,2016</t>
  </si>
  <si>
    <t>Rolink AG, Andersson J, Melchers F. Characterization of immature B cells by a novel monoclonal antibody, by turnover and by mitogen reactivity. Eur J Immunol. 1998;28: 3738–3748. doi:10.1002/(SICI)1521-4141(199811)28:11&lt;3738::AID-IMMU3738&gt;3.0.CO;2-Q</t>
  </si>
  <si>
    <t>Shahaf G, Zisman-Rozen S, Benhamou D, Melamed D, Mehr R. B cell development in the bone marrow is regulated by homeostatic feedback exerted by mature B cells. Front Immunol. 2016;7: 1–13. doi:10.3389/fimmu.2016.00077</t>
  </si>
  <si>
    <t>sources</t>
  </si>
  <si>
    <t xml:space="preserve">transitional residence time </t>
  </si>
  <si>
    <t>1/d</t>
  </si>
  <si>
    <t>transitional diff. to mature rate</t>
  </si>
  <si>
    <t>immature diff. to transitional rate</t>
  </si>
  <si>
    <t>immature diff. to mature rate</t>
  </si>
  <si>
    <t xml:space="preserve">transitional entrance to spleen as % of BM prod. </t>
  </si>
  <si>
    <t>cells/day</t>
  </si>
  <si>
    <t>immature enter spleen rate</t>
  </si>
  <si>
    <t>transitional % spleen B cells</t>
  </si>
  <si>
    <t>Apoil et al., 2017</t>
  </si>
  <si>
    <t>Agrawal et al., 2013</t>
  </si>
  <si>
    <t>bone marrow B cell proportion</t>
  </si>
  <si>
    <t>Harrison, 1962</t>
  </si>
  <si>
    <t>Westermann and Pabst, 1992</t>
  </si>
  <si>
    <t>Immature/ B lymph</t>
  </si>
  <si>
    <t xml:space="preserve">Transitional </t>
  </si>
  <si>
    <t>Pre-B I /B lymph</t>
  </si>
  <si>
    <t>Pre-B II/ B lymph</t>
  </si>
  <si>
    <t>Naïve</t>
  </si>
  <si>
    <t>Mature</t>
  </si>
  <si>
    <t>Agrawal S, Smith SABC, Tangye SG, Sewell WA. Transitional B cell subsets in human bone marrow. Clin Exp Immunol. 2013;174: 53–59. doi:10.1111/cei.12149</t>
  </si>
  <si>
    <t>Clark P, Normansell DE, Innes DJ, Hess CH. Lymphocyte Subsets in Normal Bone Marrow. Blood. 1986;67: 1600–1606.</t>
  </si>
  <si>
    <t>Osmond, 1991</t>
  </si>
  <si>
    <t>mitotic (Pro/large Pre B) poportion</t>
  </si>
  <si>
    <t>non - mitotic (small Pre B) poportion</t>
  </si>
  <si>
    <t>production rate of cells (from mitotic)</t>
  </si>
  <si>
    <t xml:space="preserve">turnover rate of non-mitotic </t>
  </si>
  <si>
    <t>%/h</t>
  </si>
  <si>
    <t>value - rats</t>
  </si>
  <si>
    <t>value - mice</t>
  </si>
  <si>
    <t>SD - mice</t>
  </si>
  <si>
    <t>immature production (from pre-B)</t>
  </si>
  <si>
    <t>spleen lymphocytes</t>
  </si>
  <si>
    <t>B cell proportion in spleen</t>
  </si>
  <si>
    <t>Palanichamy A, Barnard J, Zheng B, Owen T, Quach T, Looney RJ, et al. Novel human transitional B cell populations revealed by B cell Depletion Therapy. J Immunol. 2009;182: 5982–5993. doi:10.4049/jimmunol.0801859.Nove</t>
  </si>
  <si>
    <t>Palanichamy et al., 2009</t>
  </si>
  <si>
    <t>tansitional B cells /total B cells in spleen</t>
  </si>
  <si>
    <t xml:space="preserve">% of transiltional cells mature </t>
  </si>
  <si>
    <t>Benitez et al., 2014</t>
  </si>
  <si>
    <t>Benitez A, Weldon AJ, Tatosyan L, Velkuru V, Lee S, Milford T-A, et al. Differences in mouse and human nonmemory B cell pools. J Immunol. 2014;192: 4610–9. doi:10.4049/jimmunol.1300692</t>
  </si>
  <si>
    <t>adult Memory B cells/mature B cells</t>
  </si>
  <si>
    <t>spleen tranisional B/non-memory B cells</t>
  </si>
  <si>
    <t>spleen tranisional B/non-memory B cells (mice)</t>
  </si>
  <si>
    <t>not including T3. Assuming these are not included in the residence time measured for mice, and from comparison to Benitez</t>
  </si>
  <si>
    <t>we know  from Rolink et al.,1998 that they comprise ~20% of B cells in the spleen in mice</t>
  </si>
  <si>
    <t>approximated . Also mentioned: ~5% in mice</t>
  </si>
  <si>
    <t>Macallan DC, Wallace DL, Zhang Y, Ghattas H, Asquith B, Lara C De, et al. B-cell kinetics in humans : rapid turnover of peripheral blood memory cells B-cell kinetics in humans : rapid turnover of peripheral blood memory cells. Blood. 2005;105: 3633–3640. doi:10.1182/blood-2004-09-3740</t>
  </si>
  <si>
    <t>Defoiche J, Debacq C, Asquith B, Zhang Y, Burny A, Bron D, et al. Reduction of B cell turnover in chronic lymphocytic leukaemia. Br J Haematol. 2008;143: 240–247. doi:10.1111/j.1365-2141.2008.07348.x</t>
  </si>
  <si>
    <t>Defoiche et al., 2008</t>
  </si>
  <si>
    <t>Macallan et al., 2005</t>
  </si>
  <si>
    <t>total B cells</t>
  </si>
  <si>
    <t>mean lifespan (days)</t>
  </si>
  <si>
    <t>proliferation rate (1/d)</t>
  </si>
  <si>
    <t>SD proliferation (1/d)</t>
  </si>
  <si>
    <t>CD27-</t>
  </si>
  <si>
    <t>IgM+CD27-</t>
  </si>
  <si>
    <t>Memory</t>
  </si>
  <si>
    <t>CD27+</t>
  </si>
  <si>
    <t>IgM-CD27+</t>
  </si>
  <si>
    <t>Natural effectors</t>
  </si>
  <si>
    <t>IgM+CD27+</t>
  </si>
  <si>
    <t>naïve</t>
  </si>
  <si>
    <t>natural effector</t>
  </si>
  <si>
    <t>CD27+IgM+</t>
  </si>
  <si>
    <t>CD27+IgG+</t>
  </si>
  <si>
    <t>CD27-IgG+</t>
  </si>
  <si>
    <t>CD27-IgA+</t>
  </si>
  <si>
    <t>CD27+IgA+</t>
  </si>
  <si>
    <t>palsma cells</t>
  </si>
  <si>
    <t>mean</t>
  </si>
  <si>
    <t>IgD+CD27-</t>
  </si>
  <si>
    <t>Transitional</t>
  </si>
  <si>
    <t>CD24+C38+</t>
  </si>
  <si>
    <t>Plasmablast</t>
  </si>
  <si>
    <t>CD38+++CD24+</t>
  </si>
  <si>
    <t>IgD-CD27+</t>
  </si>
  <si>
    <t>Switched</t>
  </si>
  <si>
    <t>IgM-IgD-CD27+/-</t>
  </si>
  <si>
    <t>CD19+CD5+</t>
  </si>
  <si>
    <t>MZ</t>
  </si>
  <si>
    <t>IgM high IgD low CD27+</t>
  </si>
  <si>
    <t>sd %</t>
  </si>
  <si>
    <t>Timmermans et al., 2016</t>
  </si>
  <si>
    <t>Timmermans WMC, Van Laar JAM, Van Der Houwen TB, Kamphuis LSJ, Bartol SJW, Lam KH, et al. B-cell dysregulation in Crohn’s disease is partially restored with infliximab therapy. PLoS One. 2016;11: 1–15. doi:10.1371/journal.pone.0160103</t>
  </si>
  <si>
    <t>CD19+</t>
  </si>
  <si>
    <t>method</t>
  </si>
  <si>
    <t>Kuse et al., 1985</t>
  </si>
  <si>
    <t>Zheng et al., 2015</t>
  </si>
  <si>
    <t>Coulter counter</t>
  </si>
  <si>
    <t xml:space="preserve">Kuse R, Schuster S, Schübbe H, Dix S, Hausmann K. Blood Lymphocyte volumes and diameters in patients with chronic lymphocytic leukemia. Blut. 1985;50: 243–248. </t>
  </si>
  <si>
    <t>Zheng Y, Wen J, Nguyen J, Cachia MA, Wang C, Sun Y. Decreased deformability of lymphocytes in chronic lymphocytic leukemia. Sci Rep. 2015;5: 1–5. doi:10.1038/srep07613</t>
  </si>
  <si>
    <t>Segel G, Cokelet G, Lichtman M. The measurement of lymphocyte volume: importance of reference particle deformability and counting solution tonicity. Blood. 1981;57: 894–900. Available: http://bloodjournal.hematologylibrary.org/content/57/5/894.short</t>
  </si>
  <si>
    <t>Schmid-Schönbein GW, Shih YY, Chien S. Morphometry of human leukocytes. Blood. 1980;56: 866–75. Available: http://www.ncbi.nlm.nih.gov/pubmed/6775712</t>
  </si>
  <si>
    <t>Downey GP, Doherty DE, Schwab B, Elson EL, Henson PM, Worthen GS. Retention of leukocytes in capillaries: role of cell size and deformability. J Appl Physiol. 1990;69: 1767–1778. doi:10.1152/jappl.1990.69.5.1767</t>
  </si>
  <si>
    <t>Schmid-Schönbein et al., 1980</t>
  </si>
  <si>
    <t>Segel et al., 1981</t>
  </si>
  <si>
    <t xml:space="preserve">Transmission Electron Microscopy </t>
  </si>
  <si>
    <t>Downey et al., 1990</t>
  </si>
  <si>
    <t>Flow Cytometer</t>
  </si>
  <si>
    <t>value (fl)</t>
  </si>
  <si>
    <t>SD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</si>
</sst>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0.0%"/>
    <numFmt numFmtId="166" formatCode="0E+00"/>
    <numFmt numFmtId="167" formatCode="0.0E+00"/>
    <numFmt numFmtId="168" formatCode="0.00000000000000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9" fontId="2" fillId="0" borderId="0" xfId="0" applyNumberFormat="1" applyFont="1"/>
    <xf numFmtId="0" fontId="1" fillId="0" borderId="0" xfId="0" applyFont="1"/>
    <xf numFmtId="166" fontId="2" fillId="0" borderId="0" xfId="0" applyNumberFormat="1" applyFont="1"/>
    <xf numFmtId="165" fontId="0" fillId="0" borderId="0" xfId="1" applyNumberFormat="1" applyFont="1"/>
    <xf numFmtId="165" fontId="2" fillId="0" borderId="0" xfId="0" applyNumberFormat="1" applyFont="1"/>
    <xf numFmtId="167" fontId="2" fillId="0" borderId="0" xfId="0" applyNumberFormat="1" applyFont="1"/>
    <xf numFmtId="0" fontId="2" fillId="0" borderId="0" xfId="0" applyNumberFormat="1" applyFont="1"/>
    <xf numFmtId="0" fontId="0" fillId="0" borderId="0" xfId="0" applyAlignment="1">
      <alignment wrapText="1"/>
    </xf>
    <xf numFmtId="0" fontId="2" fillId="3" borderId="1" xfId="0" applyFont="1" applyFill="1" applyBorder="1"/>
    <xf numFmtId="0" fontId="2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3" borderId="2" xfId="0" applyFont="1" applyFill="1" applyBorder="1" applyAlignment="1"/>
    <xf numFmtId="0" fontId="0" fillId="0" borderId="2" xfId="0" applyFont="1" applyBorder="1" applyAlignment="1"/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10" fontId="0" fillId="3" borderId="1" xfId="1" applyNumberFormat="1" applyFont="1" applyFill="1" applyBorder="1"/>
    <xf numFmtId="2" fontId="6" fillId="3" borderId="1" xfId="0" applyNumberFormat="1" applyFont="1" applyFill="1" applyBorder="1"/>
    <xf numFmtId="10" fontId="0" fillId="0" borderId="1" xfId="1" applyNumberFormat="1" applyFont="1" applyBorder="1"/>
    <xf numFmtId="1" fontId="6" fillId="0" borderId="1" xfId="0" applyNumberFormat="1" applyFont="1" applyBorder="1"/>
    <xf numFmtId="0" fontId="6" fillId="0" borderId="1" xfId="0" applyFont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0" fillId="0" borderId="4" xfId="0" applyFont="1" applyBorder="1"/>
    <xf numFmtId="0" fontId="7" fillId="0" borderId="4" xfId="0" applyFont="1" applyBorder="1"/>
    <xf numFmtId="0" fontId="7" fillId="0" borderId="1" xfId="0" applyFont="1" applyBorder="1"/>
    <xf numFmtId="0" fontId="0" fillId="0" borderId="4" xfId="0" applyNumberFormat="1" applyFont="1" applyBorder="1"/>
    <xf numFmtId="1" fontId="0" fillId="0" borderId="4" xfId="0" applyNumberFormat="1" applyFont="1" applyBorder="1"/>
    <xf numFmtId="0" fontId="0" fillId="0" borderId="0" xfId="0" applyAlignment="1">
      <alignment horizontal="left" vertical="center" indent="4"/>
    </xf>
    <xf numFmtId="0" fontId="0" fillId="0" borderId="0" xfId="0" applyFill="1" applyAlignment="1">
      <alignment horizontal="left" vertical="center"/>
    </xf>
    <xf numFmtId="0" fontId="1" fillId="0" borderId="0" xfId="0" applyFont="1" applyFill="1"/>
    <xf numFmtId="10" fontId="1" fillId="3" borderId="1" xfId="1" applyNumberFormat="1" applyFont="1" applyFill="1" applyBorder="1"/>
    <xf numFmtId="10" fontId="1" fillId="0" borderId="1" xfId="1" applyNumberFormat="1" applyFont="1" applyBorder="1"/>
    <xf numFmtId="10" fontId="0" fillId="0" borderId="1" xfId="0" applyNumberFormat="1" applyFont="1" applyBorder="1"/>
    <xf numFmtId="10" fontId="0" fillId="3" borderId="1" xfId="0" applyNumberFormat="1" applyFont="1" applyFill="1" applyBorder="1"/>
    <xf numFmtId="10" fontId="0" fillId="0" borderId="4" xfId="0" applyNumberFormat="1" applyFont="1" applyFill="1" applyBorder="1"/>
    <xf numFmtId="10" fontId="0" fillId="0" borderId="1" xfId="0" applyNumberFormat="1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0" borderId="5" xfId="0" applyFont="1" applyBorder="1"/>
    <xf numFmtId="0" fontId="0" fillId="0" borderId="2" xfId="0" applyFont="1" applyBorder="1"/>
    <xf numFmtId="10" fontId="0" fillId="0" borderId="0" xfId="0" applyNumberFormat="1"/>
    <xf numFmtId="9" fontId="0" fillId="0" borderId="0" xfId="1" applyFont="1"/>
    <xf numFmtId="165" fontId="0" fillId="0" borderId="0" xfId="0" applyNumberFormat="1"/>
    <xf numFmtId="9" fontId="0" fillId="3" borderId="2" xfId="1" applyNumberFormat="1" applyFont="1" applyFill="1" applyBorder="1"/>
    <xf numFmtId="9" fontId="0" fillId="0" borderId="1" xfId="0" applyNumberFormat="1" applyFont="1" applyBorder="1"/>
    <xf numFmtId="9" fontId="0" fillId="0" borderId="2" xfId="1" applyNumberFormat="1" applyFont="1" applyBorder="1"/>
    <xf numFmtId="9" fontId="0" fillId="0" borderId="2" xfId="0" applyNumberFormat="1" applyFont="1" applyBorder="1"/>
    <xf numFmtId="9" fontId="0" fillId="3" borderId="1" xfId="0" applyNumberFormat="1" applyFont="1" applyFill="1" applyBorder="1"/>
    <xf numFmtId="0" fontId="0" fillId="0" borderId="0" xfId="0" applyAlignment="1">
      <alignment horizontal="center" vertical="center"/>
    </xf>
    <xf numFmtId="0" fontId="8" fillId="2" borderId="6" xfId="0" applyFont="1" applyFill="1" applyBorder="1"/>
    <xf numFmtId="0" fontId="8" fillId="2" borderId="3" xfId="0" applyFont="1" applyFill="1" applyBorder="1"/>
    <xf numFmtId="0" fontId="8" fillId="2" borderId="7" xfId="0" applyFont="1" applyFill="1" applyBorder="1"/>
    <xf numFmtId="165" fontId="0" fillId="0" borderId="0" xfId="0" applyNumberFormat="1" applyFill="1"/>
    <xf numFmtId="9" fontId="0" fillId="0" borderId="0" xfId="1" applyFont="1" applyFill="1"/>
    <xf numFmtId="0" fontId="0" fillId="3" borderId="1" xfId="0" applyNumberFormat="1" applyFont="1" applyFill="1" applyBorder="1"/>
    <xf numFmtId="0" fontId="0" fillId="0" borderId="0" xfId="0" applyNumberFormat="1"/>
    <xf numFmtId="0" fontId="0" fillId="3" borderId="5" xfId="0" applyNumberFormat="1" applyFont="1" applyFill="1" applyBorder="1"/>
    <xf numFmtId="167" fontId="0" fillId="0" borderId="0" xfId="0" applyNumberFormat="1"/>
    <xf numFmtId="167" fontId="0" fillId="0" borderId="1" xfId="0" applyNumberFormat="1" applyFont="1" applyBorder="1"/>
    <xf numFmtId="166" fontId="0" fillId="0" borderId="0" xfId="0" applyNumberFormat="1"/>
    <xf numFmtId="166" fontId="0" fillId="0" borderId="1" xfId="0" applyNumberFormat="1" applyFont="1" applyBorder="1"/>
    <xf numFmtId="9" fontId="0" fillId="0" borderId="0" xfId="0" applyNumberFormat="1" applyFont="1"/>
    <xf numFmtId="0" fontId="0" fillId="0" borderId="0" xfId="0" applyAlignment="1">
      <alignment horizontal="left" vertical="center"/>
    </xf>
    <xf numFmtId="0" fontId="9" fillId="0" borderId="0" xfId="0" applyFont="1"/>
    <xf numFmtId="166" fontId="0" fillId="3" borderId="1" xfId="0" applyNumberFormat="1" applyFont="1" applyFill="1" applyBorder="1"/>
    <xf numFmtId="0" fontId="1" fillId="0" borderId="2" xfId="0" applyFont="1" applyFill="1" applyBorder="1"/>
    <xf numFmtId="0" fontId="0" fillId="0" borderId="2" xfId="0" applyFont="1" applyFill="1" applyBorder="1" applyAlignment="1"/>
    <xf numFmtId="1" fontId="0" fillId="0" borderId="0" xfId="0" applyNumberFormat="1"/>
    <xf numFmtId="166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wrapText="1"/>
    </xf>
    <xf numFmtId="0" fontId="8" fillId="0" borderId="3" xfId="0" applyFont="1" applyFill="1" applyBorder="1"/>
    <xf numFmtId="0" fontId="0" fillId="0" borderId="4" xfId="0" applyFont="1" applyFill="1" applyBorder="1"/>
    <xf numFmtId="9" fontId="0" fillId="0" borderId="4" xfId="0" applyNumberFormat="1" applyFont="1" applyFill="1" applyBorder="1"/>
    <xf numFmtId="11" fontId="0" fillId="0" borderId="1" xfId="0" applyNumberFormat="1" applyFont="1" applyFill="1" applyBorder="1"/>
    <xf numFmtId="168" fontId="0" fillId="0" borderId="0" xfId="0" applyNumberFormat="1"/>
    <xf numFmtId="2" fontId="0" fillId="0" borderId="0" xfId="0" applyNumberFormat="1"/>
    <xf numFmtId="9" fontId="0" fillId="0" borderId="1" xfId="1" applyNumberFormat="1" applyFont="1" applyBorder="1"/>
    <xf numFmtId="165" fontId="0" fillId="0" borderId="1" xfId="1" applyNumberFormat="1" applyFont="1" applyBorder="1"/>
    <xf numFmtId="167" fontId="0" fillId="0" borderId="0" xfId="2" applyNumberFormat="1" applyFont="1"/>
    <xf numFmtId="2" fontId="0" fillId="3" borderId="1" xfId="0" applyNumberFormat="1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2" fontId="0" fillId="0" borderId="1" xfId="0" applyNumberFormat="1" applyFont="1" applyBorder="1"/>
    <xf numFmtId="0" fontId="0" fillId="0" borderId="1" xfId="0" applyNumberFormat="1" applyFont="1" applyBorder="1"/>
    <xf numFmtId="0" fontId="0" fillId="3" borderId="8" xfId="0" applyFont="1" applyFill="1" applyBorder="1"/>
    <xf numFmtId="0" fontId="0" fillId="0" borderId="0" xfId="0" applyBorder="1"/>
    <xf numFmtId="0" fontId="0" fillId="0" borderId="0" xfId="0" applyFont="1"/>
    <xf numFmtId="9" fontId="0" fillId="0" borderId="0" xfId="1" applyNumberFormat="1" applyFont="1"/>
    <xf numFmtId="11" fontId="0" fillId="0" borderId="0" xfId="0" applyNumberFormat="1"/>
    <xf numFmtId="0" fontId="0" fillId="0" borderId="0" xfId="0" applyFill="1" applyBorder="1"/>
    <xf numFmtId="9" fontId="0" fillId="0" borderId="0" xfId="0" applyNumberFormat="1" applyBorder="1"/>
    <xf numFmtId="10" fontId="0" fillId="0" borderId="0" xfId="0" applyNumberFormat="1" applyBorder="1"/>
    <xf numFmtId="9" fontId="0" fillId="0" borderId="0" xfId="1" applyFont="1" applyBorder="1"/>
    <xf numFmtId="2" fontId="0" fillId="0" borderId="1" xfId="0" applyNumberFormat="1" applyFont="1" applyFill="1" applyBorder="1"/>
    <xf numFmtId="9" fontId="0" fillId="0" borderId="1" xfId="1" applyFont="1" applyFill="1" applyBorder="1"/>
    <xf numFmtId="165" fontId="0" fillId="0" borderId="1" xfId="1" applyNumberFormat="1" applyFont="1" applyFill="1" applyBorder="1"/>
    <xf numFmtId="0" fontId="0" fillId="3" borderId="4" xfId="0" applyFont="1" applyFill="1" applyBorder="1"/>
    <xf numFmtId="166" fontId="0" fillId="0" borderId="1" xfId="1" applyNumberFormat="1" applyFont="1" applyBorder="1"/>
    <xf numFmtId="11" fontId="0" fillId="0" borderId="0" xfId="0" applyNumberFormat="1" applyBorder="1"/>
    <xf numFmtId="165" fontId="0" fillId="0" borderId="0" xfId="0" applyNumberFormat="1" applyBorder="1"/>
    <xf numFmtId="10" fontId="0" fillId="0" borderId="0" xfId="1" applyNumberFormat="1" applyFont="1"/>
    <xf numFmtId="0" fontId="10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64" formatCode="0.0"/>
    </dxf>
    <dxf>
      <numFmt numFmtId="164" formatCode="0.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0.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7" formatCode="0.0E+00"/>
    </dxf>
    <dxf>
      <numFmt numFmtId="167" formatCode="0.0E+00"/>
    </dxf>
    <dxf>
      <numFmt numFmtId="165" formatCode="0.0%"/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0.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554553</xdr:colOff>
      <xdr:row>62</xdr:row>
      <xdr:rowOff>139530</xdr:rowOff>
    </xdr:from>
    <xdr:to>
      <xdr:col>13</xdr:col>
      <xdr:colOff>591968</xdr:colOff>
      <xdr:row>106</xdr:row>
      <xdr:rowOff>90863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828" y="15436680"/>
          <a:ext cx="8496030" cy="8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472328</xdr:colOff>
      <xdr:row>50</xdr:row>
      <xdr:rowOff>162726</xdr:rowOff>
    </xdr:from>
    <xdr:to>
      <xdr:col>20</xdr:col>
      <xdr:colOff>452518</xdr:colOff>
      <xdr:row>65</xdr:row>
      <xdr:rowOff>124274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6453" y="9687726"/>
          <a:ext cx="6076190" cy="2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66</xdr:row>
      <xdr:rowOff>117902</xdr:rowOff>
    </xdr:from>
    <xdr:to>
      <xdr:col>25</xdr:col>
      <xdr:colOff>179499</xdr:colOff>
      <xdr:row>79</xdr:row>
      <xdr:rowOff>89021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2690902"/>
          <a:ext cx="11809524" cy="2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554553</xdr:colOff>
      <xdr:row>62</xdr:row>
      <xdr:rowOff>139530</xdr:rowOff>
    </xdr:from>
    <xdr:to>
      <xdr:col>12</xdr:col>
      <xdr:colOff>119446</xdr:colOff>
      <xdr:row>106</xdr:row>
      <xdr:rowOff>90863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0428" y="12388680"/>
          <a:ext cx="8495615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6</xdr:row>
      <xdr:rowOff>9525</xdr:rowOff>
    </xdr:from>
    <xdr:to>
      <xdr:col>24</xdr:col>
      <xdr:colOff>256063</xdr:colOff>
      <xdr:row>24</xdr:row>
      <xdr:rowOff>56715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1152525"/>
          <a:ext cx="8895238" cy="3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384443</xdr:colOff>
      <xdr:row>0</xdr:row>
      <xdr:rowOff>180975</xdr:rowOff>
    </xdr:from>
    <xdr:to>
      <xdr:col>33</xdr:col>
      <xdr:colOff>175943</xdr:colOff>
      <xdr:row>33</xdr:row>
      <xdr:rowOff>27808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043" y="180975"/>
          <a:ext cx="10154700" cy="6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</xdr:row>
      <xdr:rowOff>60430</xdr:rowOff>
    </xdr:from>
    <xdr:to>
      <xdr:col>17</xdr:col>
      <xdr:colOff>1840</xdr:colOff>
      <xdr:row>19</xdr:row>
      <xdr:rowOff>107668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31930"/>
          <a:ext cx="6459790" cy="3095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5" name="Table15" displayName="Table15" ref="A1:E6" totalsRowShown="0">
  <autoFilter ref="A1:E6"/>
  <tableColumns count="5">
    <tableColumn id="1" name="parameter" dataDxfId="92">
      <calculatedColumnFormula>5*10^11</calculatedColumnFormula>
    </tableColumn>
    <tableColumn id="2" name="value" dataDxfId="91">
      <calculatedColumnFormula>4.6*10^11</calculatedColumnFormula>
    </tableColumn>
    <tableColumn id="3" name="units"/>
    <tableColumn id="4" name="SD" dataDxfId="90"/>
    <tableColumn id="5" name="sour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:E10" totalsRowShown="0" headerRowDxfId="47" headerRowBorderDxfId="46" tableBorderDxfId="45" totalsRowBorderDxfId="44">
  <autoFilter ref="A1:E10"/>
  <tableColumns count="5">
    <tableColumn id="1" name="parameter"/>
    <tableColumn id="2" name="value"/>
    <tableColumn id="3" name="units" dataDxfId="43"/>
    <tableColumn id="4" name="SD"/>
    <tableColumn id="5" name="sourc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le18" displayName="Table18" ref="A1:H6" totalsRowShown="0">
  <autoFilter ref="A1:H6"/>
  <tableColumns count="8">
    <tableColumn id="1" name="BM cell compartment"/>
    <tableColumn id="5" name="mitotic"/>
    <tableColumn id="2" name="mouse incidence"/>
    <tableColumn id="3" name="rat incidence" dataDxfId="42"/>
    <tableColumn id="4" name="turnover mouse (%/h)" dataDxfId="41"/>
    <tableColumn id="6" name="turnover rat(%/h)" dataDxfId="40"/>
    <tableColumn id="7" name="daily production mouse" dataDxfId="39"/>
    <tableColumn id="8" name="daily production rat" dataDxfId="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9" name="Table19" displayName="Table19" ref="A1:F8" totalsRowShown="0" headerRowDxfId="37" dataDxfId="35" headerRowBorderDxfId="36" tableBorderDxfId="34" totalsRowBorderDxfId="33">
  <autoFilter ref="A1:F8"/>
  <tableColumns count="6">
    <tableColumn id="1" name="parameter" dataDxfId="32"/>
    <tableColumn id="2" name="value" dataDxfId="31"/>
    <tableColumn id="3" name="SD" dataDxfId="30"/>
    <tableColumn id="4" name="units" dataDxfId="29"/>
    <tableColumn id="5" name="source" dataDxfId="28"/>
    <tableColumn id="6" name="comments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0" name="srcT24721" displayName="srcT24721" ref="L1:N7" totalsRowShown="0" headerRowDxfId="26" dataDxfId="25">
  <autoFilter ref="L1:N7"/>
  <tableColumns count="3">
    <tableColumn id="1" name="#" dataDxfId="24"/>
    <tableColumn id="2" name="source" dataDxfId="23"/>
    <tableColumn id="3" name="ab" dataDxfId="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1" name="Table822" displayName="Table822" ref="A1:F8" totalsRowShown="0" headerRowDxfId="21" dataDxfId="19" headerRowBorderDxfId="20" tableBorderDxfId="18" totalsRowBorderDxfId="17">
  <autoFilter ref="A1:F8"/>
  <tableColumns count="6">
    <tableColumn id="1" name="cells" dataDxfId="16"/>
    <tableColumn id="2" name="marker" dataDxfId="15"/>
    <tableColumn id="16" name="mean lifespan (days)" dataDxfId="14"/>
    <tableColumn id="4" name="proliferation rate (1/d)" dataDxfId="13">
      <calculatedColumnFormula>1/Table822[[#This Row],[mean lifespan (days)]]</calculatedColumnFormula>
    </tableColumn>
    <tableColumn id="3" name="SD proliferation (1/d)"/>
    <tableColumn id="12" name="source" dataDxfId="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101423" displayName="Table101423" ref="A1:E10" totalsRowShown="0">
  <autoFilter ref="A1:E10"/>
  <tableColumns count="5">
    <tableColumn id="6" name="population" dataDxfId="11"/>
    <tableColumn id="2" name="markers"/>
    <tableColumn id="3" name="%" dataDxfId="10"/>
    <tableColumn id="4" name="SD" dataDxfId="9" dataCellStyle="Percent"/>
    <tableColumn id="7" name="source" dataDxfId="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3" name="Table23" displayName="Table23" ref="A1:E11" totalsRowCount="1">
  <autoFilter ref="A1:E10"/>
  <tableColumns count="5">
    <tableColumn id="1" name="type" totalsRowLabel="Total"/>
    <tableColumn id="2" name="mean" totalsRowFunction="sum" dataDxfId="7" totalsRowDxfId="6"/>
    <tableColumn id="3" name="SD" dataDxfId="5"/>
    <tableColumn id="4" name="%" totalsRowFunction="count" dataCellStyle="Percent">
      <calculatedColumnFormula>Table23[[#This Row],[mean]]/Table23[[#Totals],[mean]]</calculatedColumnFormula>
    </tableColumn>
    <tableColumn id="5" name="sd %" dataCellStyle="Percent">
      <calculatedColumnFormula>Table23[[#This Row],[SD]]/Table23[[#Totals],[mean]]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e16" displayName="Table16" ref="A1:F9" totalsRowCount="1">
  <autoFilter ref="A1:F8"/>
  <tableColumns count="6">
    <tableColumn id="1" name="tissue" totalsRowLabel="Total"/>
    <tableColumn id="2" name="total" totalsRowFunction="sum"/>
    <tableColumn id="3" name="%" totalsRowFunction="count" dataCellStyle="Percent">
      <calculatedColumnFormula>Table16[[#This Row],[total]]/Table16[[#Totals],[total]]</calculatedColumnFormula>
    </tableColumn>
    <tableColumn id="4" name="B" totalsRowFunction="custom" totalsRowDxfId="4">
      <totalsRowFormula>SUMPRODUCT(Table16[%],Table16[B])/(SUMPRODUCT(Table16[%],Table16[B])+SUMPRODUCT(Table16[%],Table16[T])+SUMPRODUCT(Table16[%],Table16[NK]))</totalsRowFormula>
    </tableColumn>
    <tableColumn id="5" name="T" totalsRowFunction="custom" dataDxfId="3" totalsRowDxfId="2">
      <totalsRowFormula>SUMPRODUCT(Table16[%],Table16[T])/(SUMPRODUCT(Table16[%],Table16[B])+SUMPRODUCT(Table16[%],Table16[T])+SUMPRODUCT(Table16[%],Table16[NK]))</totalsRowFormula>
    </tableColumn>
    <tableColumn id="9" name="NK" totalsRowFunction="custom" dataDxfId="1" totalsRowDxfId="0">
      <totalsRowFormula>SUMPRODUCT(Table16[%],Table16[NK])/(SUMPRODUCT(Table16[%],Table16[B])+SUMPRODUCT(Table16[%],Table16[T])+SUMPRODUCT(Table16[%],Table16[NK]))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Table24" displayName="Table24" ref="A1:D7" totalsRowShown="0">
  <autoFilter ref="A1:D7"/>
  <tableColumns count="4">
    <tableColumn id="1" name="source"/>
    <tableColumn id="2" name="value (fl)"/>
    <tableColumn id="3" name="SD (fl)"/>
    <tableColumn id="4" name="meth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1014" displayName="Table1014" ref="A1:G11" totalsRowShown="0">
  <autoFilter ref="A1:G11"/>
  <tableColumns count="7">
    <tableColumn id="6" name="population" dataDxfId="89"/>
    <tableColumn id="5" name="subpopulation" dataDxfId="88"/>
    <tableColumn id="1" name="Cells"/>
    <tableColumn id="2" name="markers"/>
    <tableColumn id="3" name="%" dataDxfId="87"/>
    <tableColumn id="4" name="SD" dataDxfId="86" dataCellStyle="Percent"/>
    <tableColumn id="7" name="comment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srcT247" displayName="srcT247" ref="P1:R7" totalsRowShown="0" headerRowDxfId="84" dataDxfId="83">
  <autoFilter ref="P1:R7"/>
  <tableColumns count="3">
    <tableColumn id="1" name="#" dataDxfId="82"/>
    <tableColumn id="2" name="source" dataDxfId="81"/>
    <tableColumn id="3" name="ab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J17" totalsRowShown="0" headerRowDxfId="79" dataDxfId="77" headerRowBorderDxfId="78" tableBorderDxfId="76" totalsRowBorderDxfId="75">
  <autoFilter ref="A1:J17"/>
  <tableColumns count="10">
    <tableColumn id="1" name="cells" dataDxfId="74"/>
    <tableColumn id="2" name="marker" dataDxfId="73"/>
    <tableColumn id="16" name="lifespan (days)" dataDxfId="72"/>
    <tableColumn id="4" name="proliferation rate (% per day) median" dataDxfId="71"/>
    <tableColumn id="6" name="Cell number (per mul blood) median " dataDxfId="70"/>
    <tableColumn id="8" name="total production in blood (10^6)" dataDxfId="69"/>
    <tableColumn id="9" name="Total production (10^6 cells per day) median" dataDxfId="68"/>
    <tableColumn id="10" name="Total production (10^6 cells per day) range" dataDxfId="67"/>
    <tableColumn id="11" name="Thymic production (10^6 cells per day)" dataDxfId="66"/>
    <tableColumn id="12" name="source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7" name="Table17" displayName="Table17" ref="A1:F11" totalsRowShown="0" headerRowDxfId="64" headerRowBorderDxfId="63" tableBorderDxfId="62">
  <autoFilter ref="A1:F11"/>
  <tableColumns count="6">
    <tableColumn id="1" name="parameter"/>
    <tableColumn id="2" name="value"/>
    <tableColumn id="3" name="units"/>
    <tableColumn id="4" name="SD"/>
    <tableColumn id="5" name="source"/>
    <tableColumn id="7" name="comme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J5" totalsRowShown="0" headerRowDxfId="61">
  <autoFilter ref="A1:J5"/>
  <tableColumns count="10">
    <tableColumn id="1" name="source" dataDxfId="60"/>
    <tableColumn id="2" name="daily production of thymocytes (cell/d)"/>
    <tableColumn id="3" name="daily output of Thymus (as % of cells)"/>
    <tableColumn id="4" name="production rate of SP (as % of DP rate)"/>
    <tableColumn id="5" name="daily output of Thymus(cell/d)"/>
    <tableColumn id="6" name="total cells in Thymus"/>
    <tableColumn id="7" name="turnover of (most) thymocytes [d]"/>
    <tableColumn id="8" name="mean life span of CD4+CD8+(d)"/>
    <tableColumn id="9" name="lag in the entry to mature (CD3+) CD4+CD8- (d)"/>
    <tableColumn id="10" name="mean time in thymus of SP(d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srcT24" displayName="srcT24" ref="P3:R25" totalsRowShown="0">
  <autoFilter ref="P3:R25"/>
  <tableColumns count="3">
    <tableColumn id="3" name="#"/>
    <tableColumn id="1" name="ab."/>
    <tableColumn id="2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A1:G18" totalsRowShown="0" headerRowDxfId="59" dataDxfId="57" headerRowBorderDxfId="58" tableBorderDxfId="56" totalsRowBorderDxfId="55">
  <autoFilter ref="A1:G18"/>
  <tableColumns count="7">
    <tableColumn id="1" name="parameter" dataDxfId="54"/>
    <tableColumn id="7" name="value - rats" dataDxfId="53"/>
    <tableColumn id="2" name="value - mice" dataDxfId="52"/>
    <tableColumn id="3" name="SD - mice" dataDxfId="51"/>
    <tableColumn id="4" name="units" dataDxfId="50"/>
    <tableColumn id="5" name="source" dataDxfId="49"/>
    <tableColumn id="6" name="comments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6"/>
  <sheetViews>
    <sheetView zoomScaleNormal="100" workbookViewId="0">
      <selection activeCell="E33" sqref="E33"/>
    </sheetView>
  </sheetViews>
  <sheetFormatPr defaultRowHeight="15"/>
  <cols>
    <col min="1" max="1" width="18.85546875" customWidth="1"/>
    <col min="3" max="3" width="8.140625" customWidth="1"/>
    <col min="4" max="4" width="7" customWidth="1"/>
    <col min="5" max="5" width="109.85546875" customWidth="1"/>
    <col min="9" max="9" width="9.140625" customWidth="1"/>
  </cols>
  <sheetData>
    <row r="1" spans="1:10">
      <c r="A1" t="s">
        <v>128</v>
      </c>
      <c r="B1" t="s">
        <v>129</v>
      </c>
      <c r="C1" t="s">
        <v>130</v>
      </c>
      <c r="D1" t="s">
        <v>1</v>
      </c>
      <c r="E1" t="s">
        <v>2</v>
      </c>
      <c r="J1" s="76" t="s">
        <v>150</v>
      </c>
    </row>
    <row r="2" spans="1:10">
      <c r="A2" s="68" t="s">
        <v>131</v>
      </c>
      <c r="B2">
        <f>5*10^11</f>
        <v>500000000000</v>
      </c>
      <c r="C2" t="s">
        <v>65</v>
      </c>
      <c r="E2" t="s">
        <v>134</v>
      </c>
      <c r="J2" s="75" t="s">
        <v>146</v>
      </c>
    </row>
    <row r="3" spans="1:10">
      <c r="A3" s="68" t="s">
        <v>131</v>
      </c>
      <c r="B3">
        <f>AVERAGE(1.9,2.9)*10^12</f>
        <v>2400000000000</v>
      </c>
      <c r="C3" t="s">
        <v>65</v>
      </c>
      <c r="D3" s="72">
        <f>_xlfn.STDEV.P(1.9,2.9)*10^12</f>
        <v>500000000000</v>
      </c>
      <c r="E3" t="s">
        <v>151</v>
      </c>
      <c r="J3" s="75" t="s">
        <v>147</v>
      </c>
    </row>
    <row r="4" spans="1:10">
      <c r="A4" s="68" t="s">
        <v>132</v>
      </c>
      <c r="B4" s="1">
        <v>0.65</v>
      </c>
      <c r="C4" t="s">
        <v>127</v>
      </c>
      <c r="D4" s="1">
        <v>0.05</v>
      </c>
      <c r="E4" t="s">
        <v>152</v>
      </c>
      <c r="J4" s="75" t="s">
        <v>148</v>
      </c>
    </row>
    <row r="5" spans="1:10">
      <c r="A5" t="s">
        <v>133</v>
      </c>
      <c r="B5" s="1">
        <v>0.3</v>
      </c>
      <c r="C5" t="s">
        <v>127</v>
      </c>
      <c r="D5" s="1">
        <v>0.05</v>
      </c>
      <c r="E5" t="s">
        <v>152</v>
      </c>
      <c r="J5" s="75" t="s">
        <v>149</v>
      </c>
    </row>
    <row r="6" spans="1:10">
      <c r="A6" s="68" t="s">
        <v>145</v>
      </c>
      <c r="B6" s="1">
        <v>0.05</v>
      </c>
      <c r="C6" t="s">
        <v>127</v>
      </c>
      <c r="D6" s="54">
        <v>0.03</v>
      </c>
      <c r="E6" t="s">
        <v>152</v>
      </c>
    </row>
    <row r="8" spans="1:10">
      <c r="C8" s="71"/>
    </row>
    <row r="46" spans="8:10">
      <c r="H46" s="2"/>
      <c r="I46" s="2"/>
      <c r="J46" s="54"/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L11"/>
  <sheetViews>
    <sheetView zoomScaleNormal="100" workbookViewId="0">
      <selection activeCell="E7" sqref="E7"/>
    </sheetView>
  </sheetViews>
  <sheetFormatPr defaultRowHeight="15"/>
  <cols>
    <col min="1" max="1" width="44.140625" bestFit="1" customWidth="1"/>
    <col min="5" max="5" width="27" bestFit="1" customWidth="1"/>
    <col min="6" max="6" width="104.42578125" customWidth="1"/>
  </cols>
  <sheetData>
    <row r="1" spans="1:12">
      <c r="A1" s="63" t="s">
        <v>128</v>
      </c>
      <c r="B1" s="63" t="s">
        <v>129</v>
      </c>
      <c r="C1" s="63" t="s">
        <v>1</v>
      </c>
      <c r="D1" s="63" t="s">
        <v>130</v>
      </c>
      <c r="E1" s="63" t="s">
        <v>2</v>
      </c>
      <c r="F1" s="63" t="s">
        <v>167</v>
      </c>
      <c r="L1" s="76" t="s">
        <v>2</v>
      </c>
    </row>
    <row r="2" spans="1:12">
      <c r="A2" s="24" t="s">
        <v>248</v>
      </c>
      <c r="B2" s="111">
        <f>7*10^10</f>
        <v>70000000000</v>
      </c>
      <c r="C2" s="93"/>
      <c r="D2" s="4" t="s">
        <v>65</v>
      </c>
      <c r="E2" s="4" t="s">
        <v>134</v>
      </c>
      <c r="F2" s="4"/>
      <c r="L2" s="75" t="s">
        <v>146</v>
      </c>
    </row>
    <row r="3" spans="1:12">
      <c r="A3" s="24" t="s">
        <v>248</v>
      </c>
      <c r="B3" s="111">
        <f>2.9*10^11</f>
        <v>290000000000</v>
      </c>
      <c r="C3" s="111">
        <f>10^11</f>
        <v>100000000000</v>
      </c>
      <c r="D3" s="6" t="s">
        <v>65</v>
      </c>
      <c r="E3" s="6" t="s">
        <v>151</v>
      </c>
      <c r="F3" s="6"/>
      <c r="L3" s="75" t="s">
        <v>147</v>
      </c>
    </row>
    <row r="4" spans="1:12">
      <c r="A4" s="24" t="s">
        <v>249</v>
      </c>
      <c r="B4" s="104">
        <v>0.5</v>
      </c>
      <c r="C4" s="102"/>
      <c r="D4" s="4" t="s">
        <v>127</v>
      </c>
      <c r="E4" t="s">
        <v>229</v>
      </c>
      <c r="F4" s="4"/>
      <c r="L4" s="75" t="s">
        <v>148</v>
      </c>
    </row>
    <row r="5" spans="1:12">
      <c r="A5" s="24" t="s">
        <v>252</v>
      </c>
      <c r="B5" s="90">
        <f>0.054+0.018</f>
        <v>7.1999999999999995E-2</v>
      </c>
      <c r="C5" s="91">
        <f>SQRT(SUMSQ(0.9,0.7))/100</f>
        <v>1.1401754250991381E-2</v>
      </c>
      <c r="D5" s="6" t="s">
        <v>127</v>
      </c>
      <c r="E5" s="6" t="s">
        <v>251</v>
      </c>
      <c r="F5" s="6" t="s">
        <v>259</v>
      </c>
      <c r="L5" t="s">
        <v>250</v>
      </c>
    </row>
    <row r="6" spans="1:12">
      <c r="A6" s="85" t="s">
        <v>256</v>
      </c>
      <c r="B6" s="104">
        <v>0.4</v>
      </c>
      <c r="C6" s="112"/>
      <c r="D6" s="110"/>
      <c r="E6" s="110" t="s">
        <v>254</v>
      </c>
      <c r="F6" s="110" t="s">
        <v>261</v>
      </c>
      <c r="L6" s="75" t="s">
        <v>255</v>
      </c>
    </row>
    <row r="7" spans="1:12">
      <c r="A7" s="24" t="s">
        <v>257</v>
      </c>
      <c r="B7" s="113">
        <f>1/(1+21.9)</f>
        <v>4.3668122270742363E-2</v>
      </c>
      <c r="C7" s="102"/>
      <c r="D7" s="4"/>
      <c r="E7" s="110" t="s">
        <v>254</v>
      </c>
      <c r="F7" s="4"/>
    </row>
    <row r="8" spans="1:12">
      <c r="A8" s="24" t="s">
        <v>258</v>
      </c>
      <c r="B8" s="113">
        <f>1/(1+3.7)</f>
        <v>0.21276595744680851</v>
      </c>
      <c r="C8" s="102"/>
      <c r="D8" s="4"/>
      <c r="E8" s="110" t="s">
        <v>254</v>
      </c>
      <c r="F8" s="4" t="s">
        <v>260</v>
      </c>
    </row>
    <row r="11" spans="1:12">
      <c r="B11" s="7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O17"/>
  <sheetViews>
    <sheetView zoomScale="115" zoomScaleNormal="115" workbookViewId="0">
      <selection activeCell="F35" sqref="F35"/>
    </sheetView>
  </sheetViews>
  <sheetFormatPr defaultRowHeight="15"/>
  <cols>
    <col min="1" max="1" width="19.28515625" customWidth="1"/>
    <col min="2" max="2" width="13.42578125" customWidth="1"/>
    <col min="3" max="3" width="14" customWidth="1"/>
    <col min="4" max="4" width="14.7109375" customWidth="1"/>
    <col min="5" max="5" width="17.85546875" bestFit="1" customWidth="1"/>
    <col min="6" max="6" width="19.140625" bestFit="1" customWidth="1"/>
  </cols>
  <sheetData>
    <row r="1" spans="1:15" ht="30.75" customHeight="1">
      <c r="A1" s="33" t="s">
        <v>65</v>
      </c>
      <c r="B1" s="33" t="s">
        <v>66</v>
      </c>
      <c r="C1" s="33" t="s">
        <v>267</v>
      </c>
      <c r="D1" s="33" t="s">
        <v>268</v>
      </c>
      <c r="E1" s="33" t="s">
        <v>269</v>
      </c>
      <c r="F1" s="33" t="s">
        <v>2</v>
      </c>
      <c r="K1" s="25"/>
      <c r="L1" s="25" t="s">
        <v>14</v>
      </c>
      <c r="M1" s="25" t="s">
        <v>2</v>
      </c>
      <c r="N1" s="25" t="s">
        <v>86</v>
      </c>
      <c r="O1" s="25"/>
    </row>
    <row r="2" spans="1:15">
      <c r="A2" t="s">
        <v>266</v>
      </c>
      <c r="C2">
        <v>52</v>
      </c>
      <c r="D2" s="11">
        <f>1/Table822[[#This Row],[mean lifespan (days)]]</f>
        <v>1.9230769230769232E-2</v>
      </c>
      <c r="E2" s="11">
        <v>5.0000000000000001E-3</v>
      </c>
      <c r="F2" s="25" t="s">
        <v>265</v>
      </c>
      <c r="K2" s="25"/>
      <c r="L2" s="25" t="s">
        <v>15</v>
      </c>
      <c r="M2" s="41" t="s">
        <v>90</v>
      </c>
      <c r="N2" s="25" t="s">
        <v>93</v>
      </c>
      <c r="O2" s="25"/>
    </row>
    <row r="3" spans="1:15">
      <c r="A3" t="s">
        <v>266</v>
      </c>
      <c r="C3">
        <v>76</v>
      </c>
      <c r="D3" s="11">
        <f>1/Table822[[#This Row],[mean lifespan (days)]]</f>
        <v>1.3157894736842105E-2</v>
      </c>
      <c r="E3" s="55">
        <v>4.0000000000000001E-3</v>
      </c>
      <c r="F3" s="25" t="s">
        <v>264</v>
      </c>
      <c r="K3" s="25"/>
      <c r="L3" s="25" t="s">
        <v>17</v>
      </c>
      <c r="M3" s="42" t="s">
        <v>38</v>
      </c>
      <c r="N3" s="25" t="s">
        <v>87</v>
      </c>
      <c r="O3" s="25"/>
    </row>
    <row r="4" spans="1:15">
      <c r="A4" t="s">
        <v>234</v>
      </c>
      <c r="B4" t="s">
        <v>270</v>
      </c>
      <c r="C4">
        <v>217</v>
      </c>
      <c r="D4" s="11">
        <f>1/Table822[[#This Row],[mean lifespan (days)]]</f>
        <v>4.608294930875576E-3</v>
      </c>
      <c r="E4" s="114">
        <v>7.0243344494910981E-4</v>
      </c>
      <c r="F4" s="25" t="s">
        <v>265</v>
      </c>
      <c r="K4" s="25"/>
      <c r="L4" s="25" t="s">
        <v>3</v>
      </c>
      <c r="M4" s="75" t="s">
        <v>262</v>
      </c>
      <c r="N4" s="25" t="s">
        <v>265</v>
      </c>
      <c r="O4" s="25"/>
    </row>
    <row r="5" spans="1:15">
      <c r="A5" t="s">
        <v>234</v>
      </c>
      <c r="B5" t="s">
        <v>271</v>
      </c>
      <c r="C5">
        <v>435</v>
      </c>
      <c r="D5" s="11">
        <f>1/Table822[[#This Row],[mean lifespan (days)]]</f>
        <v>2.2988505747126436E-3</v>
      </c>
      <c r="E5" s="53">
        <v>5.0000000000000001E-4</v>
      </c>
      <c r="F5" s="25" t="s">
        <v>87</v>
      </c>
      <c r="K5" s="25"/>
      <c r="L5" s="25" t="s">
        <v>20</v>
      </c>
      <c r="M5" s="75" t="s">
        <v>263</v>
      </c>
      <c r="N5" s="25" t="s">
        <v>264</v>
      </c>
      <c r="O5" s="25"/>
    </row>
    <row r="6" spans="1:15">
      <c r="A6" t="s">
        <v>272</v>
      </c>
      <c r="B6" t="s">
        <v>273</v>
      </c>
      <c r="C6">
        <v>38</v>
      </c>
      <c r="D6" s="11">
        <f>1/Table822[[#This Row],[mean lifespan (days)]]</f>
        <v>2.6315789473684209E-2</v>
      </c>
      <c r="E6" s="55">
        <v>8.0000000000000002E-3</v>
      </c>
      <c r="F6" s="25" t="s">
        <v>265</v>
      </c>
      <c r="K6" s="25"/>
      <c r="L6" s="25" t="s">
        <v>4</v>
      </c>
      <c r="M6" s="41"/>
      <c r="N6" s="25"/>
      <c r="O6" s="25"/>
    </row>
    <row r="7" spans="1:15">
      <c r="A7" t="s">
        <v>272</v>
      </c>
      <c r="B7" t="s">
        <v>274</v>
      </c>
      <c r="C7">
        <v>44</v>
      </c>
      <c r="D7" s="11">
        <f>1/Table822[[#This Row],[mean lifespan (days)]]</f>
        <v>2.2727272727272728E-2</v>
      </c>
      <c r="E7" s="55">
        <v>8.9999999999999993E-3</v>
      </c>
      <c r="F7" s="25" t="s">
        <v>87</v>
      </c>
      <c r="K7" s="25"/>
      <c r="L7" s="25" t="s">
        <v>23</v>
      </c>
      <c r="M7" s="41"/>
      <c r="N7" s="25"/>
      <c r="O7" s="25"/>
    </row>
    <row r="8" spans="1:15">
      <c r="A8" t="s">
        <v>275</v>
      </c>
      <c r="B8" t="s">
        <v>276</v>
      </c>
      <c r="C8">
        <v>213</v>
      </c>
      <c r="D8" s="11">
        <f>1/Table822[[#This Row],[mean lifespan (days)]]</f>
        <v>4.6948356807511738E-3</v>
      </c>
      <c r="E8" s="55">
        <v>1E-3</v>
      </c>
      <c r="F8" s="25" t="s">
        <v>87</v>
      </c>
      <c r="K8" s="25"/>
      <c r="L8" s="25"/>
      <c r="M8" s="25"/>
      <c r="N8" s="25"/>
      <c r="O8" s="25"/>
    </row>
    <row r="9" spans="1:15">
      <c r="F9" s="25"/>
    </row>
    <row r="10" spans="1:15">
      <c r="F10" s="25"/>
    </row>
    <row r="11" spans="1:15">
      <c r="F11" s="25"/>
      <c r="J11" s="114"/>
    </row>
    <row r="12" spans="1:15">
      <c r="F12" s="25"/>
    </row>
    <row r="13" spans="1:15">
      <c r="F13" s="25"/>
      <c r="M13" s="40"/>
      <c r="N13" s="40"/>
    </row>
    <row r="14" spans="1:15">
      <c r="F14" s="25"/>
      <c r="M14" s="40"/>
      <c r="N14" s="40"/>
    </row>
    <row r="15" spans="1:15">
      <c r="F15" s="25"/>
      <c r="M15" s="40"/>
      <c r="N15" s="40"/>
    </row>
    <row r="16" spans="1:15">
      <c r="F16" s="25"/>
    </row>
    <row r="17" spans="6:6">
      <c r="F17" s="2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K223"/>
  <sheetViews>
    <sheetView zoomScaleNormal="100" workbookViewId="0">
      <selection activeCell="F35" sqref="F35"/>
    </sheetView>
  </sheetViews>
  <sheetFormatPr defaultRowHeight="15"/>
  <cols>
    <col min="1" max="1" width="15" bestFit="1" customWidth="1"/>
    <col min="2" max="2" width="20.140625" bestFit="1" customWidth="1"/>
    <col min="4" max="4" width="13.140625" customWidth="1"/>
    <col min="5" max="5" width="22.85546875" bestFit="1" customWidth="1"/>
  </cols>
  <sheetData>
    <row r="1" spans="1:10">
      <c r="A1" t="s">
        <v>120</v>
      </c>
      <c r="B1" t="s">
        <v>104</v>
      </c>
      <c r="C1" t="s">
        <v>127</v>
      </c>
      <c r="D1" t="s">
        <v>1</v>
      </c>
      <c r="E1" t="s">
        <v>2</v>
      </c>
      <c r="I1" s="76" t="s">
        <v>215</v>
      </c>
    </row>
    <row r="2" spans="1:10">
      <c r="A2" s="25" t="s">
        <v>266</v>
      </c>
      <c r="B2" s="25" t="s">
        <v>300</v>
      </c>
      <c r="C2" s="65">
        <v>1</v>
      </c>
      <c r="D2" s="66">
        <v>0</v>
      </c>
      <c r="E2" s="25"/>
      <c r="I2" t="s">
        <v>122</v>
      </c>
    </row>
    <row r="3" spans="1:10">
      <c r="A3" s="25" t="s">
        <v>234</v>
      </c>
      <c r="B3" t="s">
        <v>286</v>
      </c>
      <c r="C3" s="54">
        <v>0.66600000000000004</v>
      </c>
      <c r="D3" s="54">
        <f>(0.84-0.44)/4</f>
        <v>9.9999999999999992E-2</v>
      </c>
      <c r="E3" t="s">
        <v>225</v>
      </c>
      <c r="I3" s="75" t="s">
        <v>299</v>
      </c>
    </row>
    <row r="4" spans="1:10">
      <c r="A4" s="25" t="s">
        <v>287</v>
      </c>
      <c r="B4" t="s">
        <v>288</v>
      </c>
      <c r="C4" s="54">
        <v>6.6000000000000003E-2</v>
      </c>
      <c r="D4" s="54">
        <v>3.3000000000000002E-2</v>
      </c>
      <c r="E4" t="s">
        <v>225</v>
      </c>
    </row>
    <row r="5" spans="1:10">
      <c r="A5" s="25" t="s">
        <v>289</v>
      </c>
      <c r="B5" t="s">
        <v>290</v>
      </c>
      <c r="C5" s="55">
        <v>1.2999999999999999E-2</v>
      </c>
      <c r="D5" s="54">
        <v>1.2E-2</v>
      </c>
      <c r="E5" t="s">
        <v>225</v>
      </c>
    </row>
    <row r="6" spans="1:10">
      <c r="A6" s="25" t="s">
        <v>272</v>
      </c>
      <c r="B6" t="s">
        <v>291</v>
      </c>
      <c r="C6" s="1">
        <v>0.1</v>
      </c>
      <c r="D6" s="54">
        <v>0.05</v>
      </c>
      <c r="E6" t="s">
        <v>225</v>
      </c>
    </row>
    <row r="7" spans="1:10">
      <c r="A7" s="25" t="s">
        <v>292</v>
      </c>
      <c r="B7" t="s">
        <v>293</v>
      </c>
      <c r="C7" s="55">
        <v>0.152</v>
      </c>
      <c r="D7" s="54">
        <v>7.0000000000000007E-2</v>
      </c>
      <c r="E7" t="s">
        <v>225</v>
      </c>
    </row>
    <row r="8" spans="1:10">
      <c r="A8" t="s">
        <v>294</v>
      </c>
      <c r="B8" t="s">
        <v>294</v>
      </c>
      <c r="C8" s="55">
        <v>9.5000000000000001E-2</v>
      </c>
      <c r="D8" s="1">
        <v>4.7E-2</v>
      </c>
      <c r="E8" t="s">
        <v>225</v>
      </c>
      <c r="F8" s="25"/>
      <c r="G8" s="25"/>
    </row>
    <row r="9" spans="1:10">
      <c r="A9" s="25" t="s">
        <v>295</v>
      </c>
      <c r="B9" s="4" t="s">
        <v>296</v>
      </c>
      <c r="C9" s="60">
        <v>0.14599999999999999</v>
      </c>
      <c r="D9" s="56">
        <v>7.0000000000000007E-2</v>
      </c>
      <c r="E9" t="s">
        <v>225</v>
      </c>
      <c r="F9" s="25"/>
      <c r="G9" s="25"/>
    </row>
    <row r="10" spans="1:10">
      <c r="A10" t="s">
        <v>275</v>
      </c>
      <c r="C10" s="11">
        <v>9.1687702848900168E-2</v>
      </c>
      <c r="D10" s="54">
        <v>1.5620867892776094E-2</v>
      </c>
      <c r="E10" t="s">
        <v>298</v>
      </c>
      <c r="F10" s="25"/>
      <c r="G10" s="25"/>
    </row>
    <row r="11" spans="1:10">
      <c r="A11" s="25"/>
      <c r="C11" s="55"/>
      <c r="D11" s="54"/>
      <c r="E11" s="25"/>
      <c r="F11" s="25"/>
      <c r="G11" s="25"/>
    </row>
    <row r="12" spans="1:10">
      <c r="A12" s="25"/>
      <c r="B12" s="25"/>
      <c r="C12" s="25"/>
      <c r="D12" s="25"/>
      <c r="E12" s="25"/>
      <c r="F12" s="25"/>
      <c r="G12" s="25"/>
      <c r="J12" s="115"/>
    </row>
    <row r="13" spans="1:10">
      <c r="A13" s="25"/>
      <c r="B13" s="25"/>
      <c r="C13" s="25"/>
      <c r="D13" s="25"/>
      <c r="E13" s="25"/>
      <c r="F13" s="25"/>
      <c r="G13" s="25"/>
    </row>
    <row r="14" spans="1:10">
      <c r="A14" s="25"/>
      <c r="B14" s="25"/>
      <c r="C14" s="25"/>
      <c r="D14" s="25"/>
      <c r="E14" s="25"/>
      <c r="F14" s="25"/>
      <c r="G14" s="25"/>
    </row>
    <row r="15" spans="1:10">
      <c r="A15" s="25"/>
      <c r="B15" s="25"/>
      <c r="C15" s="25"/>
      <c r="D15" s="25"/>
      <c r="E15" s="25"/>
      <c r="F15" s="25"/>
      <c r="G15" s="25"/>
    </row>
    <row r="16" spans="1:10">
      <c r="B16" s="25"/>
      <c r="C16" s="65"/>
      <c r="D16" s="66"/>
      <c r="E16" s="25"/>
      <c r="F16" s="25"/>
      <c r="G16" s="25"/>
    </row>
    <row r="17" spans="2:11">
      <c r="B17" s="25"/>
      <c r="C17" s="65"/>
      <c r="D17" s="66"/>
      <c r="E17" s="25"/>
    </row>
    <row r="18" spans="2:11">
      <c r="B18" s="25"/>
      <c r="C18" s="25"/>
      <c r="D18" s="25"/>
      <c r="E18" s="25"/>
      <c r="G18" s="53"/>
    </row>
    <row r="20" spans="2:11">
      <c r="J20" s="40"/>
      <c r="K20" s="40"/>
    </row>
    <row r="21" spans="2:11">
      <c r="J21" s="40"/>
      <c r="K21" s="40"/>
    </row>
    <row r="22" spans="2:11">
      <c r="J22" s="40"/>
      <c r="K22" s="40"/>
    </row>
    <row r="23" spans="2:11">
      <c r="J23" s="40"/>
      <c r="K23" s="40"/>
    </row>
    <row r="24" spans="2:11">
      <c r="J24" s="40"/>
      <c r="K24" s="40"/>
    </row>
    <row r="25" spans="2:11">
      <c r="J25" s="40"/>
      <c r="K25" s="40"/>
    </row>
    <row r="26" spans="2:11">
      <c r="J26" s="40"/>
      <c r="K26" s="40"/>
    </row>
    <row r="27" spans="2:11">
      <c r="J27" s="40"/>
      <c r="K27" s="40"/>
    </row>
    <row r="28" spans="2:11">
      <c r="J28" s="40"/>
      <c r="K28" s="40"/>
    </row>
    <row r="29" spans="2:11">
      <c r="J29" s="40"/>
      <c r="K29" s="40"/>
    </row>
    <row r="30" spans="2:11">
      <c r="J30" s="40"/>
      <c r="K30" s="40"/>
    </row>
    <row r="31" spans="2:11">
      <c r="J31" s="40"/>
      <c r="K31" s="40"/>
    </row>
    <row r="32" spans="2:11">
      <c r="D32" s="53"/>
      <c r="J32" s="40"/>
      <c r="K32" s="40"/>
    </row>
    <row r="33" spans="1:11">
      <c r="J33" s="40"/>
      <c r="K33" s="40"/>
    </row>
    <row r="34" spans="1:11">
      <c r="J34" s="40"/>
      <c r="K34" s="40"/>
    </row>
    <row r="35" spans="1:11">
      <c r="A35" s="53"/>
      <c r="J35" s="40"/>
      <c r="K35" s="40"/>
    </row>
    <row r="36" spans="1:11">
      <c r="A36" s="53"/>
      <c r="J36" s="40"/>
      <c r="K36" s="40"/>
    </row>
    <row r="37" spans="1:11">
      <c r="J37" s="40"/>
      <c r="K37" s="40"/>
    </row>
    <row r="38" spans="1:11">
      <c r="E38" s="53"/>
      <c r="J38" s="40"/>
      <c r="K38" s="40"/>
    </row>
    <row r="39" spans="1:11">
      <c r="J39" s="40"/>
      <c r="K39" s="40"/>
    </row>
    <row r="40" spans="1:11">
      <c r="C40" s="53"/>
      <c r="J40" s="40"/>
      <c r="K40" s="40"/>
    </row>
    <row r="41" spans="1:11">
      <c r="A41" s="53"/>
      <c r="J41" s="40"/>
      <c r="K41" s="40"/>
    </row>
    <row r="42" spans="1:11">
      <c r="J42" s="40"/>
      <c r="K42" s="40"/>
    </row>
    <row r="43" spans="1:11">
      <c r="J43" s="40"/>
      <c r="K43" s="40"/>
    </row>
    <row r="44" spans="1:11">
      <c r="J44" s="40"/>
      <c r="K44" s="40"/>
    </row>
    <row r="45" spans="1:11">
      <c r="J45" s="40"/>
      <c r="K45" s="40"/>
    </row>
    <row r="46" spans="1:11">
      <c r="J46" s="40"/>
      <c r="K46" s="40"/>
    </row>
    <row r="47" spans="1:11">
      <c r="A47" s="53"/>
      <c r="J47" s="40"/>
      <c r="K47" s="40"/>
    </row>
    <row r="48" spans="1:11">
      <c r="J48" s="40"/>
    </row>
    <row r="49" spans="1:3">
      <c r="A49" s="53"/>
    </row>
    <row r="50" spans="1:3">
      <c r="C50" s="53"/>
    </row>
    <row r="52" spans="1:3">
      <c r="C52" s="53"/>
    </row>
    <row r="53" spans="1:3">
      <c r="A53" s="53"/>
    </row>
    <row r="55" spans="1:3">
      <c r="A55" s="53"/>
    </row>
    <row r="59" spans="1:3">
      <c r="A59" s="53"/>
    </row>
    <row r="60" spans="1:3">
      <c r="A60" s="53"/>
    </row>
    <row r="61" spans="1:3">
      <c r="A61" s="53"/>
    </row>
    <row r="62" spans="1:3">
      <c r="A62" s="1"/>
    </row>
    <row r="63" spans="1:3">
      <c r="A63" s="53"/>
    </row>
    <row r="73" spans="1:3">
      <c r="A73" s="53"/>
    </row>
    <row r="76" spans="1:3">
      <c r="A76" s="1"/>
    </row>
    <row r="77" spans="1:3">
      <c r="A77" s="53"/>
    </row>
    <row r="78" spans="1:3">
      <c r="A78" s="53"/>
    </row>
    <row r="79" spans="1:3">
      <c r="A79" s="53"/>
    </row>
    <row r="80" spans="1:3">
      <c r="C80" s="53"/>
    </row>
    <row r="82" spans="1:3">
      <c r="C82" s="53"/>
    </row>
    <row r="83" spans="1:3">
      <c r="C83" s="53"/>
    </row>
    <row r="84" spans="1:3">
      <c r="C84" s="53"/>
    </row>
    <row r="85" spans="1:3">
      <c r="C85" s="53"/>
    </row>
    <row r="86" spans="1:3">
      <c r="A86" s="53"/>
    </row>
    <row r="88" spans="1:3">
      <c r="A88" s="53"/>
    </row>
    <row r="89" spans="1:3">
      <c r="A89" s="1"/>
    </row>
    <row r="90" spans="1:3">
      <c r="A90" s="53"/>
    </row>
    <row r="91" spans="1:3">
      <c r="A91" s="53"/>
    </row>
    <row r="94" spans="1:3">
      <c r="A94" s="53"/>
    </row>
    <row r="95" spans="1:3">
      <c r="A95" s="53"/>
    </row>
    <row r="96" spans="1:3">
      <c r="A96" s="53"/>
    </row>
    <row r="97" spans="1:3">
      <c r="A97" s="53"/>
    </row>
    <row r="98" spans="1:3">
      <c r="A98" s="53"/>
    </row>
    <row r="107" spans="1:3">
      <c r="A107" s="53"/>
    </row>
    <row r="108" spans="1:3">
      <c r="A108" s="53"/>
    </row>
    <row r="110" spans="1:3">
      <c r="A110" s="1"/>
    </row>
    <row r="111" spans="1:3">
      <c r="A111" s="53"/>
    </row>
    <row r="112" spans="1:3">
      <c r="C112" s="53"/>
    </row>
    <row r="113" spans="1:5">
      <c r="C113" s="53"/>
    </row>
    <row r="115" spans="1:5">
      <c r="C115" s="53"/>
    </row>
    <row r="116" spans="1:5">
      <c r="C116" s="53"/>
    </row>
    <row r="117" spans="1:5">
      <c r="A117" s="53"/>
    </row>
    <row r="118" spans="1:5">
      <c r="A118" s="53"/>
    </row>
    <row r="120" spans="1:5">
      <c r="A120" s="1"/>
    </row>
    <row r="121" spans="1:5">
      <c r="A121" s="53"/>
    </row>
    <row r="124" spans="1:5">
      <c r="A124" s="53"/>
    </row>
    <row r="126" spans="1:5">
      <c r="E126" s="53"/>
    </row>
    <row r="128" spans="1:5">
      <c r="A128" s="53"/>
    </row>
    <row r="129" spans="1:4">
      <c r="A129" s="53"/>
    </row>
    <row r="130" spans="1:4">
      <c r="A130" s="53"/>
    </row>
    <row r="131" spans="1:4">
      <c r="A131" s="53"/>
      <c r="D131" s="53"/>
    </row>
    <row r="134" spans="1:4">
      <c r="D134" s="53"/>
    </row>
    <row r="136" spans="1:4">
      <c r="C136" s="53"/>
    </row>
    <row r="137" spans="1:4">
      <c r="A137" s="1"/>
    </row>
    <row r="169" spans="1:1">
      <c r="A169" s="1"/>
    </row>
    <row r="170" spans="1:1">
      <c r="A170" s="53"/>
    </row>
    <row r="171" spans="1:1">
      <c r="A171" s="53"/>
    </row>
    <row r="177" spans="1:3">
      <c r="A177" s="53"/>
    </row>
    <row r="178" spans="1:3">
      <c r="A178" s="53"/>
    </row>
    <row r="179" spans="1:3">
      <c r="A179" s="53"/>
    </row>
    <row r="183" spans="1:3">
      <c r="A183" s="53"/>
    </row>
    <row r="184" spans="1:3">
      <c r="C184" s="53"/>
    </row>
    <row r="185" spans="1:3">
      <c r="A185" s="53"/>
    </row>
    <row r="189" spans="1:3">
      <c r="A189" s="53"/>
    </row>
    <row r="190" spans="1:3">
      <c r="A190" s="53"/>
    </row>
    <row r="191" spans="1:3">
      <c r="A191" s="53"/>
    </row>
    <row r="192" spans="1:3">
      <c r="A192" s="53"/>
    </row>
    <row r="193" spans="1:4">
      <c r="A193" s="1"/>
    </row>
    <row r="194" spans="1:4">
      <c r="A194" s="53"/>
    </row>
    <row r="195" spans="1:4">
      <c r="D195" s="53"/>
    </row>
    <row r="201" spans="1:4">
      <c r="A201" s="53"/>
    </row>
    <row r="209" spans="1:5">
      <c r="C209" s="53"/>
    </row>
    <row r="212" spans="1:5">
      <c r="C212" s="53"/>
    </row>
    <row r="214" spans="1:5">
      <c r="A214" s="53"/>
    </row>
    <row r="215" spans="1:5">
      <c r="D215" s="53"/>
    </row>
    <row r="217" spans="1:5">
      <c r="E217" s="1"/>
    </row>
    <row r="219" spans="1:5">
      <c r="D219" s="53"/>
    </row>
    <row r="222" spans="1:5">
      <c r="C222" s="53"/>
    </row>
    <row r="223" spans="1:5">
      <c r="A223" s="5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K30" sqref="K30"/>
    </sheetView>
  </sheetViews>
  <sheetFormatPr defaultRowHeight="15"/>
  <cols>
    <col min="6" max="6" width="15" bestFit="1" customWidth="1"/>
  </cols>
  <sheetData>
    <row r="1" spans="1:5">
      <c r="A1" t="s">
        <v>207</v>
      </c>
      <c r="B1" t="s">
        <v>285</v>
      </c>
      <c r="C1" t="s">
        <v>1</v>
      </c>
      <c r="D1" t="s">
        <v>127</v>
      </c>
      <c r="E1" t="s">
        <v>297</v>
      </c>
    </row>
    <row r="2" spans="1:5">
      <c r="A2" t="s">
        <v>204</v>
      </c>
      <c r="B2" s="2">
        <v>10.239999999999901</v>
      </c>
      <c r="C2" s="2">
        <v>1.2799999999999994</v>
      </c>
      <c r="D2" s="54">
        <f>Table23[[#This Row],[mean]]/Table23[[#Totals],[mean]]</f>
        <v>4.3466762832070974E-2</v>
      </c>
      <c r="E2" s="54">
        <f>Table23[[#This Row],[SD]]/Table23[[#Totals],[mean]]</f>
        <v>5.433345354008922E-3</v>
      </c>
    </row>
    <row r="3" spans="1:5">
      <c r="A3" t="s">
        <v>277</v>
      </c>
      <c r="B3" s="2">
        <v>153.98230088495501</v>
      </c>
      <c r="C3" s="2">
        <v>13.274336283185988</v>
      </c>
      <c r="D3" s="54">
        <f>Table23[[#This Row],[mean]]/Table23[[#Totals],[mean]]</f>
        <v>0.65362423368193323</v>
      </c>
      <c r="E3" s="54">
        <f>Table23[[#This Row],[SD]]/Table23[[#Totals],[mean]]</f>
        <v>5.6346916696719283E-2</v>
      </c>
    </row>
    <row r="4" spans="1:5">
      <c r="A4" t="s">
        <v>278</v>
      </c>
      <c r="B4" s="2">
        <v>21.599999999999898</v>
      </c>
      <c r="C4" s="2">
        <v>3.6800000000001027</v>
      </c>
      <c r="D4" s="54">
        <f>Table23[[#This Row],[mean]]/Table23[[#Totals],[mean]]</f>
        <v>9.1687702848900168E-2</v>
      </c>
      <c r="E4" s="54">
        <f>Table23[[#This Row],[SD]]/Table23[[#Totals],[mean]]</f>
        <v>1.5620867892776094E-2</v>
      </c>
    </row>
    <row r="5" spans="1:5">
      <c r="A5" t="s">
        <v>279</v>
      </c>
      <c r="B5" s="2">
        <v>15.8399999999999</v>
      </c>
      <c r="C5" s="2">
        <v>2.5599999999999987</v>
      </c>
      <c r="D5" s="54">
        <f>Table23[[#This Row],[mean]]/Table23[[#Totals],[mean]]</f>
        <v>6.7237648755860011E-2</v>
      </c>
      <c r="E5" s="54">
        <f>Table23[[#This Row],[SD]]/Table23[[#Totals],[mean]]</f>
        <v>1.0866690708017844E-2</v>
      </c>
    </row>
    <row r="6" spans="1:5">
      <c r="A6" t="s">
        <v>280</v>
      </c>
      <c r="B6" s="2">
        <v>13.9199999999999</v>
      </c>
      <c r="C6" s="2">
        <v>1.7599999999999998</v>
      </c>
      <c r="D6" s="54">
        <f>Table23[[#This Row],[mean]]/Table23[[#Totals],[mean]]</f>
        <v>5.9087630724846629E-2</v>
      </c>
      <c r="E6" s="54">
        <f>Table23[[#This Row],[SD]]/Table23[[#Totals],[mean]]</f>
        <v>7.4708498617622699E-3</v>
      </c>
    </row>
    <row r="7" spans="1:5">
      <c r="A7" t="s">
        <v>281</v>
      </c>
      <c r="B7" s="2">
        <v>3.6799999999999899</v>
      </c>
      <c r="C7" s="2">
        <v>1.1200000000000099</v>
      </c>
      <c r="D7" s="54">
        <f>Table23[[#This Row],[mean]]/Table23[[#Totals],[mean]]</f>
        <v>1.5620867892775616E-2</v>
      </c>
      <c r="E7" s="54">
        <f>Table23[[#This Row],[SD]]/Table23[[#Totals],[mean]]</f>
        <v>4.7541771847578506E-3</v>
      </c>
    </row>
    <row r="8" spans="1:5">
      <c r="A8" t="s">
        <v>283</v>
      </c>
      <c r="B8" s="2">
        <v>10.719999999999899</v>
      </c>
      <c r="C8" s="2">
        <v>2.2400000000000002</v>
      </c>
      <c r="D8" s="54">
        <f>Table23[[#This Row],[mean]]/Table23[[#Totals],[mean]]</f>
        <v>4.5504267339824316E-2</v>
      </c>
      <c r="E8" s="54">
        <f>Table23[[#This Row],[SD]]/Table23[[#Totals],[mean]]</f>
        <v>9.5083543695156179E-3</v>
      </c>
    </row>
    <row r="9" spans="1:5">
      <c r="A9" t="s">
        <v>282</v>
      </c>
      <c r="B9" s="2">
        <v>1.5999999999999901</v>
      </c>
      <c r="C9" s="2">
        <v>0.80000000000000981</v>
      </c>
      <c r="D9" s="54">
        <f>Table23[[#This Row],[mean]]/Table23[[#Totals],[mean]]</f>
        <v>6.7916816925111135E-3</v>
      </c>
      <c r="E9" s="54">
        <f>Table23[[#This Row],[SD]]/Table23[[#Totals],[mean]]</f>
        <v>3.3958408462556192E-3</v>
      </c>
    </row>
    <row r="10" spans="1:5">
      <c r="A10" t="s">
        <v>284</v>
      </c>
      <c r="B10" s="2">
        <v>3.9999999999999898</v>
      </c>
      <c r="C10" s="2">
        <v>0.95999999999999064</v>
      </c>
      <c r="D10" s="54">
        <f>Table23[[#This Row],[mean]]/Table23[[#Totals],[mean]]</f>
        <v>1.6979204231277845E-2</v>
      </c>
      <c r="E10" s="54">
        <f>Table23[[#This Row],[SD]]/Table23[[#Totals],[mean]]</f>
        <v>4.0750090155066533E-3</v>
      </c>
    </row>
    <row r="11" spans="1:5">
      <c r="A11" t="s">
        <v>116</v>
      </c>
      <c r="B11" s="2">
        <f>SUBTOTAL(109,Table23[mean])</f>
        <v>235.58230088495449</v>
      </c>
      <c r="D11">
        <f>SUBTOTAL(103,Table23[%])</f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30" sqref="G30"/>
    </sheetView>
  </sheetViews>
  <sheetFormatPr defaultRowHeight="15"/>
  <sheetData>
    <row r="1" spans="1:6">
      <c r="A1" t="s">
        <v>141</v>
      </c>
      <c r="B1" t="s">
        <v>142</v>
      </c>
      <c r="C1" t="s">
        <v>127</v>
      </c>
      <c r="D1" t="s">
        <v>97</v>
      </c>
      <c r="E1" t="s">
        <v>143</v>
      </c>
      <c r="F1" t="s">
        <v>98</v>
      </c>
    </row>
    <row r="2" spans="1:6">
      <c r="A2" t="s">
        <v>135</v>
      </c>
      <c r="B2">
        <v>10</v>
      </c>
      <c r="C2" s="54">
        <f>Table16[[#This Row],[total]]/Table16[[#Totals],[total]]</f>
        <v>2.1739130434782608E-2</v>
      </c>
      <c r="D2" s="1">
        <v>0.25</v>
      </c>
      <c r="E2" s="1">
        <v>0.7</v>
      </c>
      <c r="F2" s="1"/>
    </row>
    <row r="3" spans="1:6">
      <c r="A3" t="s">
        <v>136</v>
      </c>
      <c r="B3">
        <v>190</v>
      </c>
      <c r="C3" s="54">
        <f>Table16[[#This Row],[total]]/Table16[[#Totals],[total]]</f>
        <v>0.41304347826086957</v>
      </c>
      <c r="D3" s="1">
        <v>0.2</v>
      </c>
      <c r="E3" s="1">
        <v>0.7</v>
      </c>
      <c r="F3" s="1"/>
    </row>
    <row r="4" spans="1:6">
      <c r="A4" t="s">
        <v>137</v>
      </c>
      <c r="B4">
        <v>70</v>
      </c>
      <c r="C4" s="54">
        <f>Table16[[#This Row],[total]]/Table16[[#Totals],[total]]</f>
        <v>0.15217391304347827</v>
      </c>
      <c r="D4" s="1">
        <v>0.47</v>
      </c>
      <c r="E4" s="1">
        <v>0.38</v>
      </c>
      <c r="F4" s="1">
        <v>0.15</v>
      </c>
    </row>
    <row r="5" spans="1:6">
      <c r="A5" t="s">
        <v>144</v>
      </c>
      <c r="B5">
        <v>20</v>
      </c>
      <c r="C5" s="54">
        <f>Table16[[#This Row],[total]]/Table16[[#Totals],[total]]</f>
        <v>4.3478260869565216E-2</v>
      </c>
      <c r="D5" s="1">
        <v>0.3</v>
      </c>
      <c r="E5" s="1">
        <v>0.6</v>
      </c>
      <c r="F5" s="1"/>
    </row>
    <row r="6" spans="1:6">
      <c r="A6" t="s">
        <v>138</v>
      </c>
      <c r="B6">
        <v>50</v>
      </c>
      <c r="C6" s="54">
        <f>Table16[[#This Row],[total]]/Table16[[#Totals],[total]]</f>
        <v>0.10869565217391304</v>
      </c>
      <c r="D6" s="1">
        <v>0.01</v>
      </c>
      <c r="E6" s="1">
        <v>0.95</v>
      </c>
      <c r="F6" s="1"/>
    </row>
    <row r="7" spans="1:6">
      <c r="A7" t="s">
        <v>139</v>
      </c>
      <c r="B7">
        <v>50</v>
      </c>
      <c r="C7" s="54">
        <f>Table16[[#This Row],[total]]/Table16[[#Totals],[total]]</f>
        <v>0.10869565217391304</v>
      </c>
      <c r="D7" s="1">
        <v>0.45</v>
      </c>
      <c r="E7" s="1">
        <v>0.45</v>
      </c>
      <c r="F7" s="1"/>
    </row>
    <row r="8" spans="1:6">
      <c r="A8" t="s">
        <v>140</v>
      </c>
      <c r="B8">
        <v>70</v>
      </c>
      <c r="C8" s="54">
        <f>Table16[[#This Row],[total]]/Table16[[#Totals],[total]]</f>
        <v>0.15217391304347827</v>
      </c>
      <c r="D8" s="1">
        <v>0.3</v>
      </c>
      <c r="E8" s="1">
        <v>0.6</v>
      </c>
      <c r="F8" s="1">
        <v>0.1</v>
      </c>
    </row>
    <row r="9" spans="1:6">
      <c r="A9" t="s">
        <v>116</v>
      </c>
      <c r="B9">
        <f>SUBTOTAL(109,Table16[total])</f>
        <v>460</v>
      </c>
      <c r="C9">
        <f>SUBTOTAL(103,Table16[%])</f>
        <v>7</v>
      </c>
      <c r="D9" s="74">
        <f>SUMPRODUCT(Table16[%],Table16[B])/(SUMPRODUCT(Table16[%],Table16[B])+SUMPRODUCT(Table16[%],Table16[T])+SUMPRODUCT(Table16[%],Table16[NK]))</f>
        <v>0.28597914252607176</v>
      </c>
      <c r="E9" s="74">
        <f>SUMPRODUCT(Table16[%],Table16[T])/(SUMPRODUCT(Table16[%],Table16[B])+SUMPRODUCT(Table16[%],Table16[T])+SUMPRODUCT(Table16[%],Table16[NK]))</f>
        <v>0.67346465816917722</v>
      </c>
      <c r="F9" s="74">
        <f>SUMPRODUCT(Table16[%],Table16[NK])/(SUMPRODUCT(Table16[%],Table16[B])+SUMPRODUCT(Table16[%],Table16[T])+SUMPRODUCT(Table16[%],Table16[NK]))</f>
        <v>4.0556199304750865E-2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41"/>
  <sheetViews>
    <sheetView workbookViewId="0">
      <selection activeCell="D32" sqref="D32"/>
    </sheetView>
  </sheetViews>
  <sheetFormatPr defaultRowHeight="15"/>
  <cols>
    <col min="1" max="1" width="27.85546875" bestFit="1" customWidth="1"/>
    <col min="3" max="3" width="13.140625" customWidth="1"/>
    <col min="4" max="4" width="31.85546875" bestFit="1" customWidth="1"/>
  </cols>
  <sheetData>
    <row r="1" spans="1:14">
      <c r="A1" t="s">
        <v>2</v>
      </c>
      <c r="B1" t="s">
        <v>315</v>
      </c>
      <c r="C1" t="s">
        <v>316</v>
      </c>
      <c r="D1" t="s">
        <v>301</v>
      </c>
      <c r="N1" s="76" t="s">
        <v>2</v>
      </c>
    </row>
    <row r="2" spans="1:14">
      <c r="A2" t="s">
        <v>302</v>
      </c>
      <c r="B2">
        <v>206</v>
      </c>
      <c r="C2">
        <v>14</v>
      </c>
      <c r="D2" t="s">
        <v>304</v>
      </c>
      <c r="N2" s="75" t="s">
        <v>305</v>
      </c>
    </row>
    <row r="3" spans="1:14">
      <c r="A3" t="s">
        <v>303</v>
      </c>
      <c r="B3" s="80">
        <f>4*PI()/3*(7.3/2)^3</f>
        <v>203.68882488692341</v>
      </c>
      <c r="C3" s="2">
        <f>4*PI()*(7.3/2)^2*0.03</f>
        <v>5.0224641752940027</v>
      </c>
      <c r="D3" t="s">
        <v>304</v>
      </c>
      <c r="N3" s="75" t="s">
        <v>306</v>
      </c>
    </row>
    <row r="4" spans="1:14">
      <c r="A4" t="s">
        <v>311</v>
      </c>
      <c r="B4">
        <v>203</v>
      </c>
      <c r="C4">
        <v>3</v>
      </c>
      <c r="D4" t="s">
        <v>304</v>
      </c>
      <c r="N4" s="75" t="s">
        <v>307</v>
      </c>
    </row>
    <row r="5" spans="1:14">
      <c r="A5" t="s">
        <v>310</v>
      </c>
      <c r="B5">
        <v>125</v>
      </c>
      <c r="C5">
        <v>15</v>
      </c>
      <c r="D5" t="s">
        <v>312</v>
      </c>
      <c r="N5" s="75" t="s">
        <v>308</v>
      </c>
    </row>
    <row r="6" spans="1:14">
      <c r="A6" t="s">
        <v>313</v>
      </c>
      <c r="B6" s="80">
        <f>4*PI()/3*(6.05/2)^3</f>
        <v>115.94839631221222</v>
      </c>
      <c r="C6" s="80">
        <f>4*PI()*(6.05/2)^2*0.04</f>
        <v>4.5996058041208157</v>
      </c>
      <c r="D6" t="s">
        <v>304</v>
      </c>
      <c r="N6" s="75" t="s">
        <v>309</v>
      </c>
    </row>
    <row r="7" spans="1:14">
      <c r="A7" t="s">
        <v>313</v>
      </c>
      <c r="B7" s="80">
        <f>4*PI()/3*(7.02/2)^3</f>
        <v>181.13816284898067</v>
      </c>
      <c r="C7" s="80">
        <f>4*PI()*(7.02/2)^2*0.04</f>
        <v>6.192757704238657</v>
      </c>
      <c r="D7" t="s">
        <v>314</v>
      </c>
    </row>
    <row r="8" spans="1:14">
      <c r="M8" s="40"/>
      <c r="N8" s="40"/>
    </row>
    <row r="9" spans="1:14">
      <c r="M9" s="40"/>
      <c r="N9" s="40"/>
    </row>
    <row r="10" spans="1:14">
      <c r="M10" s="40"/>
      <c r="N10" s="40"/>
    </row>
    <row r="11" spans="1:14">
      <c r="M11" s="40"/>
      <c r="N11" s="40"/>
    </row>
    <row r="12" spans="1:14">
      <c r="M12" s="40"/>
      <c r="N12" s="40"/>
    </row>
    <row r="13" spans="1:14">
      <c r="M13" s="40"/>
      <c r="N13" s="40"/>
    </row>
    <row r="14" spans="1:14">
      <c r="B14" s="89"/>
      <c r="M14" s="40"/>
      <c r="N14" s="40"/>
    </row>
    <row r="15" spans="1:14">
      <c r="M15" s="40"/>
      <c r="N15" s="40"/>
    </row>
    <row r="16" spans="1:14">
      <c r="M16" s="40"/>
      <c r="N16" s="40"/>
    </row>
    <row r="17" spans="13:14">
      <c r="M17" s="40"/>
      <c r="N17" s="40"/>
    </row>
    <row r="18" spans="13:14">
      <c r="M18" s="40"/>
      <c r="N18" s="40"/>
    </row>
    <row r="19" spans="13:14">
      <c r="M19" s="40"/>
      <c r="N19" s="40"/>
    </row>
    <row r="20" spans="13:14">
      <c r="M20" s="40"/>
      <c r="N20" s="40"/>
    </row>
    <row r="21" spans="13:14">
      <c r="M21" s="40"/>
      <c r="N21" s="40"/>
    </row>
    <row r="22" spans="13:14">
      <c r="M22" s="40"/>
      <c r="N22" s="40"/>
    </row>
    <row r="23" spans="13:14">
      <c r="M23" s="40"/>
      <c r="N23" s="40"/>
    </row>
    <row r="24" spans="13:14">
      <c r="M24" s="40"/>
      <c r="N24" s="40"/>
    </row>
    <row r="25" spans="13:14">
      <c r="M25" s="40"/>
      <c r="N25" s="40"/>
    </row>
    <row r="26" spans="13:14">
      <c r="M26" s="40"/>
      <c r="N26" s="40"/>
    </row>
    <row r="27" spans="13:14">
      <c r="M27" s="40"/>
      <c r="N27" s="40"/>
    </row>
    <row r="28" spans="13:14">
      <c r="M28" s="40"/>
      <c r="N28" s="40"/>
    </row>
    <row r="29" spans="13:14">
      <c r="M29" s="40"/>
      <c r="N29" s="40"/>
    </row>
    <row r="30" spans="13:14">
      <c r="M30" s="40"/>
      <c r="N30" s="40"/>
    </row>
    <row r="31" spans="13:14">
      <c r="M31" s="40"/>
      <c r="N31" s="40"/>
    </row>
    <row r="32" spans="13:14">
      <c r="M32" s="40"/>
      <c r="N32" s="40"/>
    </row>
    <row r="33" spans="13:14">
      <c r="M33" s="40"/>
      <c r="N33" s="40"/>
    </row>
    <row r="34" spans="13:14">
      <c r="M34" s="40"/>
      <c r="N34" s="40"/>
    </row>
    <row r="35" spans="13:14">
      <c r="M35" s="40"/>
      <c r="N35" s="40"/>
    </row>
    <row r="36" spans="13:14">
      <c r="M36" s="40"/>
      <c r="N36" s="40"/>
    </row>
    <row r="37" spans="13:14">
      <c r="M37" s="40"/>
    </row>
    <row r="38" spans="13:14">
      <c r="M38" s="40"/>
    </row>
    <row r="39" spans="13:14">
      <c r="M39" s="40"/>
    </row>
    <row r="40" spans="13:14">
      <c r="M40" s="40"/>
    </row>
    <row r="41" spans="13:14">
      <c r="M41" s="4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222"/>
  <sheetViews>
    <sheetView zoomScaleNormal="100" workbookViewId="0">
      <selection activeCell="I31" sqref="I31"/>
    </sheetView>
  </sheetViews>
  <sheetFormatPr defaultRowHeight="15"/>
  <cols>
    <col min="1" max="1" width="9.7109375" customWidth="1"/>
    <col min="2" max="2" width="15.5703125" customWidth="1"/>
    <col min="3" max="3" width="21" bestFit="1" customWidth="1"/>
    <col min="4" max="4" width="20.140625" bestFit="1" customWidth="1"/>
    <col min="7" max="7" width="13.42578125" bestFit="1" customWidth="1"/>
    <col min="10" max="10" width="23" customWidth="1"/>
  </cols>
  <sheetData>
    <row r="1" spans="1:10">
      <c r="A1" t="s">
        <v>120</v>
      </c>
      <c r="B1" t="s">
        <v>121</v>
      </c>
      <c r="C1" t="s">
        <v>115</v>
      </c>
      <c r="D1" t="s">
        <v>104</v>
      </c>
      <c r="E1" t="s">
        <v>127</v>
      </c>
      <c r="F1" t="s">
        <v>1</v>
      </c>
      <c r="G1" t="s">
        <v>123</v>
      </c>
      <c r="J1" t="s">
        <v>122</v>
      </c>
    </row>
    <row r="2" spans="1:10">
      <c r="A2" s="25" t="s">
        <v>117</v>
      </c>
      <c r="B2" s="25"/>
      <c r="C2" s="61"/>
      <c r="D2" t="s">
        <v>103</v>
      </c>
      <c r="E2" s="54">
        <v>0.6</v>
      </c>
      <c r="F2" s="54">
        <v>0.1</v>
      </c>
      <c r="G2" t="s">
        <v>124</v>
      </c>
    </row>
    <row r="3" spans="1:10">
      <c r="A3" s="25" t="s">
        <v>118</v>
      </c>
      <c r="B3" s="25"/>
      <c r="C3" s="61"/>
      <c r="D3" t="s">
        <v>99</v>
      </c>
      <c r="E3" s="54">
        <v>0.3</v>
      </c>
      <c r="F3" s="54">
        <v>0.05</v>
      </c>
      <c r="G3" t="s">
        <v>124</v>
      </c>
    </row>
    <row r="4" spans="1:10">
      <c r="A4" s="25" t="s">
        <v>117</v>
      </c>
      <c r="B4" s="25" t="s">
        <v>100</v>
      </c>
      <c r="C4" t="s">
        <v>100</v>
      </c>
      <c r="D4" t="s">
        <v>108</v>
      </c>
      <c r="E4" s="55">
        <v>0.46300000000000002</v>
      </c>
      <c r="F4" s="54">
        <f>(68%-20%)/4</f>
        <v>0.12000000000000001</v>
      </c>
      <c r="G4" t="s">
        <v>125</v>
      </c>
    </row>
    <row r="5" spans="1:10">
      <c r="A5" s="25" t="s">
        <v>117</v>
      </c>
      <c r="B5" s="25" t="s">
        <v>101</v>
      </c>
      <c r="C5" t="s">
        <v>102</v>
      </c>
      <c r="D5" t="s">
        <v>107</v>
      </c>
      <c r="E5" s="1">
        <v>0.33900000000000002</v>
      </c>
      <c r="F5" s="54">
        <f>(62%-7%)/4</f>
        <v>0.13750000000000001</v>
      </c>
      <c r="G5" t="s">
        <v>125</v>
      </c>
    </row>
    <row r="6" spans="1:10">
      <c r="A6" s="25" t="s">
        <v>117</v>
      </c>
      <c r="B6" s="25" t="s">
        <v>101</v>
      </c>
      <c r="C6" t="s">
        <v>109</v>
      </c>
      <c r="D6" t="s">
        <v>106</v>
      </c>
      <c r="E6" s="55">
        <v>0.16</v>
      </c>
      <c r="F6" s="54">
        <f>(28.5%-7%)/4</f>
        <v>5.3749999999999992E-2</v>
      </c>
      <c r="G6" t="s">
        <v>125</v>
      </c>
    </row>
    <row r="7" spans="1:10">
      <c r="A7" s="25" t="s">
        <v>117</v>
      </c>
      <c r="B7" s="25" t="s">
        <v>101</v>
      </c>
      <c r="C7" t="s">
        <v>110</v>
      </c>
      <c r="D7" t="s">
        <v>105</v>
      </c>
      <c r="E7" s="55">
        <v>1E-3</v>
      </c>
      <c r="F7" s="1">
        <v>1E-3</v>
      </c>
      <c r="G7" t="s">
        <v>125</v>
      </c>
    </row>
    <row r="8" spans="1:10">
      <c r="A8" s="25" t="s">
        <v>118</v>
      </c>
      <c r="B8" s="25" t="s">
        <v>111</v>
      </c>
      <c r="C8" s="49" t="s">
        <v>111</v>
      </c>
      <c r="D8" s="4" t="s">
        <v>108</v>
      </c>
      <c r="E8" s="60">
        <v>0.40600000000000003</v>
      </c>
      <c r="F8" s="56">
        <f>(73%-6%)/4</f>
        <v>0.16749999999999998</v>
      </c>
      <c r="G8" t="s">
        <v>126</v>
      </c>
      <c r="H8" s="25"/>
      <c r="I8" s="25"/>
    </row>
    <row r="9" spans="1:10">
      <c r="A9" s="25" t="s">
        <v>118</v>
      </c>
      <c r="B9" s="25" t="s">
        <v>119</v>
      </c>
      <c r="C9" s="51" t="s">
        <v>112</v>
      </c>
      <c r="D9" s="6" t="s">
        <v>107</v>
      </c>
      <c r="E9" s="57">
        <v>8.1000000000000003E-2</v>
      </c>
      <c r="F9" s="58">
        <f>(17%-3.4%)/4</f>
        <v>3.4000000000000002E-2</v>
      </c>
      <c r="G9" t="s">
        <v>126</v>
      </c>
      <c r="H9" s="25"/>
      <c r="I9" s="25"/>
    </row>
    <row r="10" spans="1:10">
      <c r="A10" s="25" t="s">
        <v>118</v>
      </c>
      <c r="B10" s="25" t="s">
        <v>119</v>
      </c>
      <c r="C10" s="49" t="s">
        <v>113</v>
      </c>
      <c r="D10" s="4" t="s">
        <v>106</v>
      </c>
      <c r="E10" s="60">
        <v>0.20499999999999999</v>
      </c>
      <c r="F10" s="56">
        <v>7.0000000000000007E-2</v>
      </c>
      <c r="G10" t="s">
        <v>126</v>
      </c>
      <c r="H10" s="25"/>
      <c r="I10" s="25"/>
    </row>
    <row r="11" spans="1:10">
      <c r="A11" s="25" t="s">
        <v>118</v>
      </c>
      <c r="B11" s="25" t="s">
        <v>119</v>
      </c>
      <c r="C11" s="51" t="s">
        <v>114</v>
      </c>
      <c r="D11" s="6" t="s">
        <v>105</v>
      </c>
      <c r="E11" s="57">
        <v>0.12</v>
      </c>
      <c r="F11" s="59">
        <v>0.1</v>
      </c>
      <c r="G11" t="s">
        <v>126</v>
      </c>
      <c r="H11" s="25"/>
      <c r="I11" s="25"/>
    </row>
    <row r="12" spans="1:10">
      <c r="A12" s="25"/>
      <c r="B12" s="25"/>
      <c r="C12" s="25"/>
      <c r="D12" s="25"/>
      <c r="E12" s="65"/>
      <c r="F12" s="66"/>
      <c r="G12" s="25"/>
      <c r="H12" s="25"/>
      <c r="I12" s="25"/>
    </row>
    <row r="13" spans="1:10">
      <c r="A13" s="25"/>
      <c r="B13" s="25"/>
      <c r="C13" s="25"/>
      <c r="D13" s="25"/>
      <c r="E13" s="65"/>
      <c r="F13" s="66"/>
      <c r="G13" s="25"/>
      <c r="H13" s="25"/>
      <c r="I13" s="25"/>
    </row>
    <row r="14" spans="1:10">
      <c r="A14" s="25"/>
      <c r="B14" s="25"/>
      <c r="C14" s="25"/>
      <c r="D14" s="25"/>
      <c r="E14" s="65"/>
      <c r="F14" s="66"/>
      <c r="G14" s="25"/>
      <c r="H14" s="25"/>
      <c r="I14" s="25"/>
    </row>
    <row r="15" spans="1:10">
      <c r="D15" s="25"/>
      <c r="E15" s="65"/>
      <c r="F15" s="66"/>
      <c r="G15" s="25"/>
      <c r="H15" s="25"/>
      <c r="I15" s="25"/>
    </row>
    <row r="16" spans="1:10">
      <c r="D16" s="25"/>
      <c r="E16" s="65"/>
      <c r="F16" s="66"/>
      <c r="G16" s="25"/>
      <c r="H16" s="25"/>
      <c r="I16" s="25"/>
    </row>
    <row r="17" spans="4:9">
      <c r="D17" s="25"/>
      <c r="E17" s="25"/>
      <c r="F17" s="25"/>
      <c r="G17" s="25"/>
    </row>
    <row r="18" spans="4:9">
      <c r="I18" s="53"/>
    </row>
    <row r="26" spans="4:9">
      <c r="G26" s="1"/>
    </row>
    <row r="31" spans="4:9">
      <c r="F31" s="53"/>
    </row>
    <row r="34" spans="1:7">
      <c r="A34" s="53"/>
    </row>
    <row r="35" spans="1:7">
      <c r="A35" s="53"/>
    </row>
    <row r="36" spans="1:7">
      <c r="G36" s="53"/>
    </row>
    <row r="39" spans="1:7">
      <c r="E39" s="53"/>
    </row>
    <row r="40" spans="1:7">
      <c r="A40" s="53"/>
    </row>
    <row r="46" spans="1:7">
      <c r="A46" s="53"/>
    </row>
    <row r="48" spans="1:7">
      <c r="A48" s="53"/>
    </row>
    <row r="49" spans="1:5">
      <c r="E49" s="53"/>
    </row>
    <row r="51" spans="1:5">
      <c r="E51" s="53"/>
    </row>
    <row r="52" spans="1:5">
      <c r="A52" s="53"/>
    </row>
    <row r="54" spans="1:5">
      <c r="A54" s="53"/>
    </row>
    <row r="58" spans="1:5">
      <c r="A58" s="53"/>
    </row>
    <row r="59" spans="1:5">
      <c r="A59" s="53"/>
    </row>
    <row r="60" spans="1:5">
      <c r="A60" s="53"/>
    </row>
    <row r="61" spans="1:5">
      <c r="A61" s="1"/>
    </row>
    <row r="62" spans="1:5">
      <c r="A62" s="53"/>
    </row>
    <row r="72" spans="1:5">
      <c r="A72" s="53"/>
    </row>
    <row r="75" spans="1:5">
      <c r="A75" s="1"/>
    </row>
    <row r="76" spans="1:5">
      <c r="A76" s="53"/>
    </row>
    <row r="77" spans="1:5">
      <c r="A77" s="53"/>
    </row>
    <row r="78" spans="1:5">
      <c r="A78" s="53"/>
    </row>
    <row r="79" spans="1:5">
      <c r="E79" s="53"/>
    </row>
    <row r="81" spans="1:5">
      <c r="E81" s="53"/>
    </row>
    <row r="82" spans="1:5">
      <c r="E82" s="53"/>
    </row>
    <row r="83" spans="1:5">
      <c r="E83" s="53"/>
    </row>
    <row r="84" spans="1:5">
      <c r="E84" s="53"/>
    </row>
    <row r="85" spans="1:5">
      <c r="A85" s="53"/>
    </row>
    <row r="87" spans="1:5">
      <c r="A87" s="53"/>
    </row>
    <row r="88" spans="1:5">
      <c r="A88" s="1"/>
    </row>
    <row r="89" spans="1:5">
      <c r="A89" s="53"/>
    </row>
    <row r="90" spans="1:5">
      <c r="A90" s="53"/>
    </row>
    <row r="93" spans="1:5">
      <c r="A93" s="53"/>
    </row>
    <row r="94" spans="1:5">
      <c r="A94" s="53"/>
    </row>
    <row r="95" spans="1:5">
      <c r="A95" s="53"/>
    </row>
    <row r="96" spans="1:5">
      <c r="A96" s="53"/>
    </row>
    <row r="97" spans="1:5">
      <c r="A97" s="53"/>
    </row>
    <row r="106" spans="1:5">
      <c r="A106" s="53"/>
    </row>
    <row r="107" spans="1:5">
      <c r="A107" s="53"/>
    </row>
    <row r="109" spans="1:5">
      <c r="A109" s="1"/>
    </row>
    <row r="110" spans="1:5">
      <c r="A110" s="53"/>
    </row>
    <row r="111" spans="1:5">
      <c r="E111" s="53"/>
    </row>
    <row r="112" spans="1:5">
      <c r="E112" s="53"/>
    </row>
    <row r="114" spans="1:7">
      <c r="E114" s="53"/>
    </row>
    <row r="115" spans="1:7">
      <c r="E115" s="53"/>
    </row>
    <row r="116" spans="1:7">
      <c r="A116" s="53"/>
    </row>
    <row r="117" spans="1:7">
      <c r="A117" s="53"/>
    </row>
    <row r="119" spans="1:7">
      <c r="A119" s="1"/>
    </row>
    <row r="120" spans="1:7">
      <c r="A120" s="53"/>
    </row>
    <row r="123" spans="1:7">
      <c r="A123" s="53"/>
    </row>
    <row r="124" spans="1:7">
      <c r="G124" s="53"/>
    </row>
    <row r="127" spans="1:7">
      <c r="A127" s="53"/>
    </row>
    <row r="128" spans="1:7">
      <c r="A128" s="53"/>
    </row>
    <row r="129" spans="1:6">
      <c r="A129" s="53"/>
    </row>
    <row r="130" spans="1:6">
      <c r="A130" s="53"/>
      <c r="F130" s="53"/>
    </row>
    <row r="133" spans="1:6">
      <c r="F133" s="53"/>
    </row>
    <row r="135" spans="1:6">
      <c r="E135" s="53"/>
    </row>
    <row r="136" spans="1:6">
      <c r="A136" s="1"/>
    </row>
    <row r="168" spans="1:1">
      <c r="A168" s="1"/>
    </row>
    <row r="169" spans="1:1">
      <c r="A169" s="53"/>
    </row>
    <row r="170" spans="1:1">
      <c r="A170" s="53"/>
    </row>
    <row r="176" spans="1:1">
      <c r="A176" s="53"/>
    </row>
    <row r="177" spans="1:5">
      <c r="A177" s="53"/>
    </row>
    <row r="178" spans="1:5">
      <c r="A178" s="53"/>
    </row>
    <row r="182" spans="1:5">
      <c r="A182" s="53"/>
    </row>
    <row r="183" spans="1:5">
      <c r="E183" s="53"/>
    </row>
    <row r="184" spans="1:5">
      <c r="A184" s="53"/>
    </row>
    <row r="188" spans="1:5">
      <c r="A188" s="53"/>
    </row>
    <row r="189" spans="1:5">
      <c r="A189" s="53"/>
    </row>
    <row r="190" spans="1:5">
      <c r="A190" s="53"/>
    </row>
    <row r="191" spans="1:5">
      <c r="A191" s="53"/>
    </row>
    <row r="192" spans="1:5">
      <c r="A192" s="1"/>
    </row>
    <row r="193" spans="1:6">
      <c r="A193" s="53"/>
    </row>
    <row r="194" spans="1:6">
      <c r="F194" s="53"/>
    </row>
    <row r="200" spans="1:6">
      <c r="A200" s="53"/>
    </row>
    <row r="208" spans="1:6">
      <c r="E208" s="53"/>
    </row>
    <row r="211" spans="1:7">
      <c r="E211" s="53"/>
    </row>
    <row r="213" spans="1:7">
      <c r="A213" s="53"/>
    </row>
    <row r="214" spans="1:7">
      <c r="F214" s="53"/>
    </row>
    <row r="215" spans="1:7">
      <c r="G215" s="1"/>
    </row>
    <row r="218" spans="1:7">
      <c r="F218" s="53"/>
    </row>
    <row r="221" spans="1:7">
      <c r="E221" s="53"/>
    </row>
    <row r="222" spans="1:7">
      <c r="A222" s="5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9"/>
  <sheetViews>
    <sheetView zoomScaleNormal="100" workbookViewId="0">
      <selection activeCell="J14" sqref="J14"/>
    </sheetView>
  </sheetViews>
  <sheetFormatPr defaultRowHeight="15"/>
  <cols>
    <col min="1" max="1" width="19.28515625" customWidth="1"/>
    <col min="2" max="3" width="10.140625" customWidth="1"/>
    <col min="4" max="4" width="18.28515625" customWidth="1"/>
    <col min="5" max="10" width="10.140625" customWidth="1"/>
  </cols>
  <sheetData>
    <row r="1" spans="1:19" ht="49.5" customHeight="1">
      <c r="A1" s="33" t="s">
        <v>65</v>
      </c>
      <c r="B1" s="33" t="s">
        <v>66</v>
      </c>
      <c r="C1" s="33" t="s">
        <v>85</v>
      </c>
      <c r="D1" s="34" t="s">
        <v>84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3" t="s">
        <v>2</v>
      </c>
      <c r="O1" s="25"/>
      <c r="P1" s="25" t="s">
        <v>14</v>
      </c>
      <c r="Q1" s="25" t="s">
        <v>2</v>
      </c>
      <c r="R1" s="25" t="s">
        <v>86</v>
      </c>
      <c r="S1" s="25"/>
    </row>
    <row r="2" spans="1:19">
      <c r="A2" s="4" t="s">
        <v>100</v>
      </c>
      <c r="B2" s="28"/>
      <c r="C2" s="39">
        <f>1/Table8[[#This Row],[proliferation rate (% per day) median]]</f>
        <v>2500</v>
      </c>
      <c r="D2" s="44">
        <v>4.0000000000000002E-4</v>
      </c>
      <c r="E2" s="17">
        <v>534</v>
      </c>
      <c r="F2" s="27">
        <f>Table8[[#This Row],[Cell number (per mul blood) median ]]*Table8[[#This Row],[proliferation rate (% per day) median]]*5</f>
        <v>1.0680000000000001</v>
      </c>
      <c r="G2" s="17">
        <v>89</v>
      </c>
      <c r="H2" s="17" t="s">
        <v>72</v>
      </c>
      <c r="I2" s="17">
        <v>16</v>
      </c>
      <c r="J2" s="25" t="s">
        <v>87</v>
      </c>
      <c r="O2" s="25"/>
      <c r="P2" s="25" t="s">
        <v>15</v>
      </c>
      <c r="Q2" s="41" t="s">
        <v>90</v>
      </c>
      <c r="R2" s="25" t="s">
        <v>93</v>
      </c>
      <c r="S2" s="25"/>
    </row>
    <row r="3" spans="1:19">
      <c r="A3" s="4" t="s">
        <v>111</v>
      </c>
      <c r="B3" s="26"/>
      <c r="C3" s="39">
        <f>1/Table8[[#This Row],[proliferation rate (% per day) median]]</f>
        <v>3333.3333333333335</v>
      </c>
      <c r="D3" s="43">
        <v>2.9999999999999997E-4</v>
      </c>
      <c r="E3" s="16">
        <v>254</v>
      </c>
      <c r="F3" s="27">
        <f>Table8[[#This Row],[Cell number (per mul blood) median ]]*Table8[[#This Row],[proliferation rate (% per day) median]]*5</f>
        <v>0.38099999999999995</v>
      </c>
      <c r="G3" s="16">
        <v>24</v>
      </c>
      <c r="H3" s="16" t="s">
        <v>73</v>
      </c>
      <c r="I3" s="16"/>
      <c r="J3" s="25" t="s">
        <v>87</v>
      </c>
      <c r="O3" s="25"/>
      <c r="P3" s="25" t="s">
        <v>17</v>
      </c>
      <c r="Q3" s="42" t="s">
        <v>38</v>
      </c>
      <c r="R3" s="25" t="s">
        <v>87</v>
      </c>
      <c r="S3" s="25"/>
    </row>
    <row r="4" spans="1:19">
      <c r="A4" s="6" t="s">
        <v>101</v>
      </c>
      <c r="B4" s="28"/>
      <c r="C4" s="39">
        <f>1/Table8[[#This Row],[proliferation rate (% per day) median]]</f>
        <v>166.66666666666666</v>
      </c>
      <c r="D4" s="44">
        <v>6.0000000000000001E-3</v>
      </c>
      <c r="E4" s="17">
        <v>403</v>
      </c>
      <c r="F4" s="27">
        <f>Table8[[#This Row],[Cell number (per mul blood) median ]]*Table8[[#This Row],[proliferation rate (% per day) median]]*5</f>
        <v>12.09</v>
      </c>
      <c r="G4" s="17">
        <v>391</v>
      </c>
      <c r="H4" s="17" t="s">
        <v>74</v>
      </c>
      <c r="I4" s="17"/>
      <c r="J4" s="25" t="s">
        <v>87</v>
      </c>
      <c r="O4" s="25"/>
      <c r="P4" s="25" t="s">
        <v>3</v>
      </c>
      <c r="Q4" s="25" t="s">
        <v>40</v>
      </c>
      <c r="R4" s="25" t="s">
        <v>88</v>
      </c>
      <c r="S4" s="25"/>
    </row>
    <row r="5" spans="1:19">
      <c r="A5" s="6" t="s">
        <v>119</v>
      </c>
      <c r="B5" s="26"/>
      <c r="C5" s="39">
        <f>1/Table8[[#This Row],[proliferation rate (% per day) median]]</f>
        <v>188.67924528301887</v>
      </c>
      <c r="D5" s="43">
        <v>5.3E-3</v>
      </c>
      <c r="E5" s="16">
        <v>90</v>
      </c>
      <c r="F5" s="27">
        <f>Table8[[#This Row],[Cell number (per mul blood) median ]]*Table8[[#This Row],[proliferation rate (% per day) median]]*5</f>
        <v>2.3849999999999998</v>
      </c>
      <c r="G5" s="16">
        <v>109</v>
      </c>
      <c r="H5" s="16" t="s">
        <v>75</v>
      </c>
      <c r="I5" s="16"/>
      <c r="J5" s="25" t="s">
        <v>87</v>
      </c>
      <c r="O5" s="25"/>
      <c r="P5" s="25" t="s">
        <v>20</v>
      </c>
      <c r="Q5" s="25" t="s">
        <v>80</v>
      </c>
      <c r="R5" s="25" t="s">
        <v>89</v>
      </c>
      <c r="S5" s="25"/>
    </row>
    <row r="6" spans="1:19">
      <c r="A6" s="6" t="s">
        <v>101</v>
      </c>
      <c r="B6" s="6" t="s">
        <v>76</v>
      </c>
      <c r="C6" s="39">
        <f>1/Table8[[#This Row],[proliferation rate (% per day) median]]</f>
        <v>163.93442622950818</v>
      </c>
      <c r="D6" s="7">
        <v>6.1000000000000004E-3</v>
      </c>
      <c r="E6" s="29"/>
      <c r="F6" s="17"/>
      <c r="G6" s="30"/>
      <c r="H6" s="6"/>
      <c r="I6" s="6"/>
      <c r="J6" s="25" t="s">
        <v>88</v>
      </c>
      <c r="O6" s="25"/>
      <c r="P6" s="25" t="s">
        <v>4</v>
      </c>
      <c r="Q6" s="41" t="s">
        <v>91</v>
      </c>
      <c r="R6" s="25" t="s">
        <v>94</v>
      </c>
      <c r="S6" s="25"/>
    </row>
    <row r="7" spans="1:19">
      <c r="A7" s="6" t="s">
        <v>119</v>
      </c>
      <c r="B7" s="4" t="s">
        <v>77</v>
      </c>
      <c r="C7" s="39">
        <f>1/Table8[[#This Row],[proliferation rate (% per day) median]]</f>
        <v>156.25</v>
      </c>
      <c r="D7" s="5">
        <v>6.4000000000000003E-3</v>
      </c>
      <c r="E7" s="31"/>
      <c r="F7" s="16"/>
      <c r="G7" s="32"/>
      <c r="H7" s="4"/>
      <c r="I7" s="4"/>
      <c r="J7" s="25" t="s">
        <v>88</v>
      </c>
      <c r="O7" s="25"/>
      <c r="P7" s="25" t="s">
        <v>23</v>
      </c>
      <c r="Q7" s="41" t="s">
        <v>92</v>
      </c>
      <c r="R7" s="25" t="s">
        <v>95</v>
      </c>
      <c r="S7" s="25"/>
    </row>
    <row r="8" spans="1:19">
      <c r="A8" s="6" t="s">
        <v>101</v>
      </c>
      <c r="B8" s="6" t="s">
        <v>76</v>
      </c>
      <c r="C8" s="39">
        <f>1/Table8[[#This Row],[proliferation rate (% per day) median]]</f>
        <v>223.61773133778931</v>
      </c>
      <c r="D8" s="7">
        <v>4.4719172939351312E-3</v>
      </c>
      <c r="E8" s="29"/>
      <c r="F8" s="17"/>
      <c r="G8" s="17">
        <v>82</v>
      </c>
      <c r="H8" s="6"/>
      <c r="I8" s="6"/>
      <c r="J8" s="25" t="s">
        <v>89</v>
      </c>
      <c r="O8" s="25"/>
      <c r="P8" s="25"/>
      <c r="Q8" s="25"/>
      <c r="R8" s="25"/>
      <c r="S8" s="25"/>
    </row>
    <row r="9" spans="1:19">
      <c r="A9" s="6" t="s">
        <v>119</v>
      </c>
      <c r="B9" s="4" t="s">
        <v>77</v>
      </c>
      <c r="C9" s="39">
        <f>1/Table8[[#This Row],[proliferation rate (% per day) median]]</f>
        <v>352.01758997690706</v>
      </c>
      <c r="D9" s="5">
        <v>2.8407671334423987E-3</v>
      </c>
      <c r="E9" s="31"/>
      <c r="F9" s="16"/>
      <c r="G9" s="16">
        <v>24</v>
      </c>
      <c r="H9" s="4"/>
      <c r="I9" s="4"/>
      <c r="J9" s="25" t="s">
        <v>89</v>
      </c>
    </row>
    <row r="10" spans="1:19">
      <c r="A10" s="4" t="s">
        <v>100</v>
      </c>
      <c r="B10" s="6" t="s">
        <v>78</v>
      </c>
      <c r="C10" s="39">
        <f>1/Table8[[#This Row],[proliferation rate (% per day) median]]</f>
        <v>2188.5683770285577</v>
      </c>
      <c r="D10" s="45">
        <v>4.5691969713905424E-4</v>
      </c>
      <c r="E10" s="29"/>
      <c r="F10" s="17"/>
      <c r="G10" s="30"/>
      <c r="H10" s="6"/>
      <c r="I10" s="6"/>
      <c r="J10" s="25" t="s">
        <v>89</v>
      </c>
      <c r="Q10" s="22"/>
    </row>
    <row r="11" spans="1:19">
      <c r="A11" s="4" t="s">
        <v>111</v>
      </c>
      <c r="B11" s="4" t="s">
        <v>79</v>
      </c>
      <c r="C11" s="39">
        <f>1/Table8[[#This Row],[proliferation rate (% per day) median]]</f>
        <v>3424.9580270703991</v>
      </c>
      <c r="D11" s="46">
        <v>2.9197438102777814E-4</v>
      </c>
      <c r="E11" s="31"/>
      <c r="F11" s="16"/>
      <c r="G11" s="32"/>
      <c r="H11" s="4"/>
      <c r="I11" s="4"/>
      <c r="J11" s="25" t="s">
        <v>89</v>
      </c>
    </row>
    <row r="12" spans="1:19">
      <c r="A12" s="4" t="s">
        <v>100</v>
      </c>
      <c r="B12" s="6" t="s">
        <v>81</v>
      </c>
      <c r="C12" s="36">
        <f>2.4*365</f>
        <v>876</v>
      </c>
      <c r="D12" s="47">
        <f>1/Table8[[#This Row],[lifespan (days)]]</f>
        <v>1.1415525114155251E-3</v>
      </c>
      <c r="E12" s="35"/>
      <c r="F12" s="35"/>
      <c r="G12" s="35" t="s">
        <v>83</v>
      </c>
      <c r="H12" s="35"/>
      <c r="I12" s="35"/>
      <c r="J12" s="25" t="s">
        <v>95</v>
      </c>
    </row>
    <row r="13" spans="1:19">
      <c r="A13" s="4" t="s">
        <v>111</v>
      </c>
      <c r="B13" s="6" t="s">
        <v>82</v>
      </c>
      <c r="C13" s="37">
        <f>2.8*365</f>
        <v>1021.9999999999999</v>
      </c>
      <c r="D13" s="47">
        <f>1/Table8[[#This Row],[lifespan (days)]]</f>
        <v>9.784735812133074E-4</v>
      </c>
      <c r="E13" s="6"/>
      <c r="F13" s="6"/>
      <c r="G13" s="6"/>
      <c r="H13" s="6"/>
      <c r="I13" s="6"/>
      <c r="J13" s="25" t="s">
        <v>95</v>
      </c>
      <c r="Q13" s="40"/>
      <c r="R13" s="40"/>
    </row>
    <row r="14" spans="1:19">
      <c r="A14" s="4" t="s">
        <v>100</v>
      </c>
      <c r="B14" s="6" t="s">
        <v>78</v>
      </c>
      <c r="C14" s="38">
        <f>1/Table8[[#This Row],[proliferation rate (% per day) median]]</f>
        <v>2000</v>
      </c>
      <c r="D14" s="47">
        <v>5.0000000000000001E-4</v>
      </c>
      <c r="E14" s="35"/>
      <c r="F14" s="35"/>
      <c r="G14" s="35"/>
      <c r="H14" s="35"/>
      <c r="I14" s="35"/>
      <c r="J14" s="25" t="s">
        <v>94</v>
      </c>
      <c r="Q14" s="40"/>
      <c r="R14" s="40"/>
    </row>
    <row r="15" spans="1:19">
      <c r="A15" s="4" t="s">
        <v>111</v>
      </c>
      <c r="B15" s="4" t="s">
        <v>79</v>
      </c>
      <c r="C15" s="39">
        <f>1/Table8[[#This Row],[proliferation rate (% per day) median]]</f>
        <v>3333.3333333333335</v>
      </c>
      <c r="D15" s="48">
        <v>2.9999999999999997E-4</v>
      </c>
      <c r="E15" s="6"/>
      <c r="F15" s="6"/>
      <c r="G15" s="6"/>
      <c r="H15" s="6"/>
      <c r="I15" s="6"/>
      <c r="J15" s="25" t="s">
        <v>94</v>
      </c>
      <c r="Q15" s="40"/>
      <c r="R15" s="40"/>
    </row>
    <row r="16" spans="1:19">
      <c r="A16" s="6" t="s">
        <v>101</v>
      </c>
      <c r="B16" s="6" t="s">
        <v>76</v>
      </c>
      <c r="C16" s="39">
        <f>1/Table8[[#This Row],[proliferation rate (% per day) median]]</f>
        <v>163.93442622950818</v>
      </c>
      <c r="D16" s="48">
        <v>6.1000000000000004E-3</v>
      </c>
      <c r="E16" s="6"/>
      <c r="F16" s="6"/>
      <c r="G16" s="6"/>
      <c r="H16" s="6"/>
      <c r="I16" s="6"/>
      <c r="J16" s="25" t="s">
        <v>94</v>
      </c>
    </row>
    <row r="17" spans="1:10">
      <c r="A17" s="6" t="s">
        <v>119</v>
      </c>
      <c r="B17" s="4" t="s">
        <v>77</v>
      </c>
      <c r="C17" s="39">
        <f>1/Table8[[#This Row],[proliferation rate (% per day) median]]</f>
        <v>119.04761904761905</v>
      </c>
      <c r="D17" s="48">
        <v>8.3999999999999995E-3</v>
      </c>
      <c r="E17" s="6"/>
      <c r="F17" s="6"/>
      <c r="G17" s="6"/>
      <c r="H17" s="6"/>
      <c r="I17" s="6"/>
      <c r="J17" s="25" t="s">
        <v>94</v>
      </c>
    </row>
    <row r="22" spans="1:10">
      <c r="E22" s="4"/>
    </row>
    <row r="23" spans="1:10">
      <c r="E23" s="6"/>
    </row>
    <row r="24" spans="1:10">
      <c r="E24" s="4"/>
    </row>
    <row r="25" spans="1:10">
      <c r="E25" s="6"/>
    </row>
    <row r="26" spans="1:10">
      <c r="E26" s="4"/>
    </row>
    <row r="27" spans="1:10">
      <c r="E27" s="6"/>
    </row>
    <row r="28" spans="1:10">
      <c r="E28" s="4"/>
    </row>
    <row r="29" spans="1:10">
      <c r="E29" s="6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0"/>
  <sheetViews>
    <sheetView tabSelected="1" zoomScale="85" zoomScaleNormal="85" workbookViewId="0">
      <selection activeCell="E7" sqref="E7"/>
    </sheetView>
  </sheetViews>
  <sheetFormatPr defaultRowHeight="15"/>
  <cols>
    <col min="1" max="1" width="46.7109375" customWidth="1"/>
    <col min="2" max="2" width="17" customWidth="1"/>
    <col min="4" max="4" width="10.5703125" bestFit="1" customWidth="1"/>
    <col min="5" max="5" width="26.7109375" customWidth="1"/>
    <col min="6" max="6" width="135" bestFit="1" customWidth="1"/>
    <col min="10" max="10" width="8.7109375" customWidth="1"/>
  </cols>
  <sheetData>
    <row r="1" spans="1:13">
      <c r="A1" s="62" t="s">
        <v>128</v>
      </c>
      <c r="B1" s="63" t="s">
        <v>129</v>
      </c>
      <c r="C1" s="63" t="s">
        <v>130</v>
      </c>
      <c r="D1" s="63" t="s">
        <v>1</v>
      </c>
      <c r="E1" s="64" t="s">
        <v>2</v>
      </c>
      <c r="F1" s="63" t="s">
        <v>167</v>
      </c>
      <c r="L1" s="76" t="s">
        <v>0</v>
      </c>
    </row>
    <row r="2" spans="1:13">
      <c r="A2" s="69" t="s">
        <v>175</v>
      </c>
      <c r="B2" s="77">
        <f>5*10^10</f>
        <v>50000000000</v>
      </c>
      <c r="C2" s="4" t="s">
        <v>65</v>
      </c>
      <c r="D2" s="4"/>
      <c r="E2" s="50" t="s">
        <v>134</v>
      </c>
      <c r="K2" s="25"/>
      <c r="L2" s="41" t="s">
        <v>157</v>
      </c>
      <c r="M2" s="25"/>
    </row>
    <row r="3" spans="1:13">
      <c r="A3" s="51" t="s">
        <v>155</v>
      </c>
      <c r="B3" s="73">
        <f>10^7</f>
        <v>10000000</v>
      </c>
      <c r="C3" s="6" t="s">
        <v>156</v>
      </c>
      <c r="D3" s="73"/>
      <c r="E3" s="52" t="s">
        <v>159</v>
      </c>
      <c r="F3" t="s">
        <v>169</v>
      </c>
      <c r="K3" s="25"/>
      <c r="L3" s="41" t="s">
        <v>158</v>
      </c>
      <c r="M3" s="25"/>
    </row>
    <row r="4" spans="1:13">
      <c r="A4" s="49" t="s">
        <v>153</v>
      </c>
      <c r="B4" s="67">
        <v>23</v>
      </c>
      <c r="C4" s="4" t="s">
        <v>154</v>
      </c>
      <c r="D4" s="60"/>
      <c r="E4" s="50" t="s">
        <v>160</v>
      </c>
      <c r="F4" t="s">
        <v>168</v>
      </c>
      <c r="K4" s="25"/>
      <c r="L4" s="78" t="s">
        <v>38</v>
      </c>
      <c r="M4" s="25"/>
    </row>
    <row r="5" spans="1:13">
      <c r="A5" t="s">
        <v>176</v>
      </c>
      <c r="B5" s="70">
        <f>10^7*MEDIAN(1.6,0.85,1.7,1.9)</f>
        <v>16500000</v>
      </c>
      <c r="C5" t="s">
        <v>161</v>
      </c>
      <c r="D5" s="72">
        <f>_xlfn.STDEV.S(1.6,0.85,1.7,1.9)*10^7</f>
        <v>4589389.9376714518</v>
      </c>
      <c r="E5" t="s">
        <v>162</v>
      </c>
      <c r="K5" s="25"/>
      <c r="L5" s="78" t="s">
        <v>36</v>
      </c>
      <c r="M5" s="25"/>
    </row>
    <row r="6" spans="1:13">
      <c r="A6" t="s">
        <v>177</v>
      </c>
      <c r="B6">
        <v>1</v>
      </c>
      <c r="C6" t="s">
        <v>163</v>
      </c>
      <c r="E6" t="s">
        <v>164</v>
      </c>
      <c r="K6" s="25"/>
      <c r="L6" s="41" t="s">
        <v>147</v>
      </c>
      <c r="M6" s="25"/>
    </row>
    <row r="7" spans="1:13">
      <c r="A7" t="s">
        <v>180</v>
      </c>
      <c r="B7" s="54">
        <f>14/16.8</f>
        <v>0.83333333333333326</v>
      </c>
      <c r="C7" t="s">
        <v>170</v>
      </c>
      <c r="E7" t="s">
        <v>165</v>
      </c>
      <c r="F7" t="s">
        <v>171</v>
      </c>
      <c r="K7" s="25"/>
      <c r="L7" s="25" t="s">
        <v>166</v>
      </c>
      <c r="M7" s="25"/>
    </row>
    <row r="8" spans="1:13">
      <c r="A8" t="s">
        <v>181</v>
      </c>
      <c r="B8" s="1">
        <f>1-B7</f>
        <v>0.16666666666666674</v>
      </c>
      <c r="C8" t="s">
        <v>170</v>
      </c>
      <c r="E8" t="s">
        <v>165</v>
      </c>
      <c r="F8" t="s">
        <v>172</v>
      </c>
      <c r="K8" s="25"/>
      <c r="L8" s="79" t="s">
        <v>21</v>
      </c>
      <c r="M8" s="25"/>
    </row>
    <row r="9" spans="1:13">
      <c r="A9" t="s">
        <v>182</v>
      </c>
      <c r="B9" s="54">
        <f>16.8/53</f>
        <v>0.31698113207547174</v>
      </c>
      <c r="C9" t="s">
        <v>127</v>
      </c>
      <c r="D9" s="1"/>
      <c r="E9" t="s">
        <v>165</v>
      </c>
      <c r="F9" t="s">
        <v>173</v>
      </c>
      <c r="K9" s="25"/>
      <c r="L9" s="79" t="s">
        <v>22</v>
      </c>
      <c r="M9" s="25"/>
    </row>
    <row r="10" spans="1:13">
      <c r="A10" t="s">
        <v>179</v>
      </c>
      <c r="B10" s="54">
        <f>B9*B8</f>
        <v>5.2830188679245313E-2</v>
      </c>
      <c r="C10" t="s">
        <v>127</v>
      </c>
      <c r="E10" t="s">
        <v>165</v>
      </c>
      <c r="F10" t="s">
        <v>174</v>
      </c>
      <c r="K10" s="25"/>
      <c r="L10" s="79" t="s">
        <v>26</v>
      </c>
      <c r="M10" s="25"/>
    </row>
    <row r="11" spans="1:13">
      <c r="A11" t="s">
        <v>179</v>
      </c>
      <c r="B11" s="54">
        <v>0.01</v>
      </c>
      <c r="C11" t="s">
        <v>127</v>
      </c>
      <c r="E11" s="24" t="s">
        <v>178</v>
      </c>
      <c r="K11" s="25"/>
      <c r="L11" s="25"/>
      <c r="M11" s="25"/>
    </row>
    <row r="12" spans="1:13">
      <c r="B12" s="70"/>
      <c r="E12" s="24"/>
    </row>
    <row r="13" spans="1:13">
      <c r="E13" s="24"/>
    </row>
    <row r="17" spans="2:7">
      <c r="E17" s="88"/>
    </row>
    <row r="19" spans="2:7">
      <c r="E19" s="2"/>
    </row>
    <row r="20" spans="2:7">
      <c r="D20" s="54"/>
      <c r="E20" s="54"/>
    </row>
    <row r="24" spans="2:7">
      <c r="B24" s="1"/>
    </row>
    <row r="28" spans="2:7">
      <c r="B28" s="80"/>
    </row>
    <row r="29" spans="2:7">
      <c r="B29" s="80"/>
    </row>
    <row r="30" spans="2:7">
      <c r="B30" s="80"/>
    </row>
    <row r="31" spans="2:7">
      <c r="G31" s="89"/>
    </row>
    <row r="32" spans="2:7">
      <c r="G32" s="89"/>
    </row>
    <row r="33" spans="7:8">
      <c r="G33" s="89"/>
    </row>
    <row r="34" spans="7:8">
      <c r="G34" s="89"/>
    </row>
    <row r="35" spans="7:8">
      <c r="G35" s="89"/>
    </row>
    <row r="36" spans="7:8">
      <c r="G36" s="89"/>
    </row>
    <row r="37" spans="7:8">
      <c r="G37" s="89"/>
    </row>
    <row r="42" spans="7:8">
      <c r="H42" s="68"/>
    </row>
    <row r="47" spans="7:8">
      <c r="H47" s="89"/>
    </row>
    <row r="48" spans="7:8">
      <c r="H48" s="89"/>
    </row>
    <row r="49" spans="8:8">
      <c r="H49" s="89"/>
    </row>
    <row r="84" spans="10:10">
      <c r="J84" s="54"/>
    </row>
    <row r="85" spans="10:10">
      <c r="J85" s="54"/>
    </row>
    <row r="86" spans="10:10">
      <c r="J86" s="54"/>
    </row>
    <row r="87" spans="10:10">
      <c r="J87" s="54"/>
    </row>
    <row r="88" spans="10:10">
      <c r="J88" s="54"/>
    </row>
    <row r="89" spans="10:10">
      <c r="J89" s="54"/>
    </row>
    <row r="90" spans="10:10">
      <c r="J90" s="5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4"/>
    </sheetView>
  </sheetViews>
  <sheetFormatPr defaultRowHeight="15"/>
  <cols>
    <col min="1" max="1" width="22.7109375" customWidth="1"/>
    <col min="2" max="2" width="20" customWidth="1"/>
    <col min="3" max="3" width="23" customWidth="1"/>
    <col min="4" max="4" width="23.28515625" customWidth="1"/>
    <col min="5" max="5" width="20.7109375" customWidth="1"/>
    <col min="6" max="6" width="12.42578125" customWidth="1"/>
    <col min="7" max="7" width="14.140625" customWidth="1"/>
    <col min="8" max="8" width="21.5703125" customWidth="1"/>
    <col min="9" max="9" width="16.85546875" customWidth="1"/>
    <col min="10" max="10" width="17.7109375" customWidth="1"/>
    <col min="11" max="11" width="18" customWidth="1"/>
  </cols>
  <sheetData>
    <row r="1" spans="1:18" ht="32.25" customHeight="1">
      <c r="A1" s="23" t="s">
        <v>2</v>
      </c>
      <c r="B1" s="18" t="s">
        <v>5</v>
      </c>
      <c r="C1" s="15" t="s">
        <v>6</v>
      </c>
      <c r="D1" s="15" t="s">
        <v>7</v>
      </c>
      <c r="E1" s="18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L1" t="s">
        <v>64</v>
      </c>
    </row>
    <row r="2" spans="1:18">
      <c r="A2" s="24" t="s">
        <v>96</v>
      </c>
      <c r="C2" s="8">
        <v>0.01</v>
      </c>
      <c r="D2" s="8"/>
      <c r="G2" s="14">
        <v>6</v>
      </c>
    </row>
    <row r="3" spans="1:18">
      <c r="A3" s="24" t="s">
        <v>59</v>
      </c>
      <c r="B3" s="10">
        <f>50* 10^6</f>
        <v>50000000</v>
      </c>
      <c r="C3" s="11">
        <f>E3/F3</f>
        <v>7.4999999999999997E-3</v>
      </c>
      <c r="D3" s="11"/>
      <c r="E3" s="13">
        <f>1.5* 10^6</f>
        <v>1500000</v>
      </c>
      <c r="F3" s="10">
        <f>2* 10^8</f>
        <v>200000000</v>
      </c>
      <c r="G3">
        <v>10</v>
      </c>
      <c r="P3" t="s">
        <v>14</v>
      </c>
      <c r="Q3" t="s">
        <v>58</v>
      </c>
      <c r="R3" t="s">
        <v>2</v>
      </c>
    </row>
    <row r="4" spans="1:18">
      <c r="A4" s="24" t="s">
        <v>63</v>
      </c>
      <c r="C4" s="8">
        <v>0.01</v>
      </c>
      <c r="D4" s="12">
        <v>3.4000000000000002E-2</v>
      </c>
      <c r="G4" s="3">
        <v>14</v>
      </c>
      <c r="H4" s="3">
        <v>3.5</v>
      </c>
      <c r="I4" s="14">
        <v>2</v>
      </c>
      <c r="J4" s="14">
        <v>12</v>
      </c>
      <c r="P4" t="s">
        <v>15</v>
      </c>
      <c r="R4" s="19" t="s">
        <v>16</v>
      </c>
    </row>
    <row r="5" spans="1:18">
      <c r="A5" s="24" t="s">
        <v>62</v>
      </c>
      <c r="B5" s="10">
        <f>5*10^7</f>
        <v>50000000</v>
      </c>
      <c r="C5" s="3"/>
      <c r="D5" s="3"/>
      <c r="E5" s="13">
        <f>1.5*10^6</f>
        <v>1500000</v>
      </c>
      <c r="F5" s="13">
        <f>1.5*10^8</f>
        <v>150000000</v>
      </c>
      <c r="P5" t="s">
        <v>17</v>
      </c>
      <c r="R5" s="19" t="s">
        <v>18</v>
      </c>
    </row>
    <row r="6" spans="1:18">
      <c r="A6" s="25"/>
      <c r="P6" t="s">
        <v>3</v>
      </c>
      <c r="Q6" t="s">
        <v>57</v>
      </c>
      <c r="R6" s="20" t="s">
        <v>19</v>
      </c>
    </row>
    <row r="7" spans="1:18">
      <c r="A7" s="25"/>
      <c r="P7" t="s">
        <v>20</v>
      </c>
      <c r="R7" s="21" t="s">
        <v>21</v>
      </c>
    </row>
    <row r="8" spans="1:18">
      <c r="A8" s="25"/>
      <c r="P8" t="s">
        <v>4</v>
      </c>
      <c r="Q8" t="s">
        <v>59</v>
      </c>
      <c r="R8" s="20" t="s">
        <v>22</v>
      </c>
    </row>
    <row r="9" spans="1:18" ht="20.25" customHeight="1">
      <c r="P9" t="s">
        <v>23</v>
      </c>
      <c r="R9" s="21" t="s">
        <v>24</v>
      </c>
    </row>
    <row r="10" spans="1:18">
      <c r="P10" t="s">
        <v>25</v>
      </c>
      <c r="Q10" t="s">
        <v>60</v>
      </c>
      <c r="R10" s="20" t="s">
        <v>26</v>
      </c>
    </row>
    <row r="11" spans="1:18">
      <c r="P11" t="s">
        <v>27</v>
      </c>
      <c r="Q11" t="s">
        <v>61</v>
      </c>
      <c r="R11" s="20" t="s">
        <v>28</v>
      </c>
    </row>
    <row r="12" spans="1:18">
      <c r="P12" t="s">
        <v>29</v>
      </c>
      <c r="Q12" t="s">
        <v>62</v>
      </c>
      <c r="R12" s="21" t="s">
        <v>30</v>
      </c>
    </row>
    <row r="13" spans="1:18">
      <c r="G13" s="15"/>
      <c r="H13" s="3"/>
      <c r="I13" s="3"/>
      <c r="P13" t="s">
        <v>31</v>
      </c>
      <c r="R13" s="9" t="s">
        <v>32</v>
      </c>
    </row>
    <row r="14" spans="1:18">
      <c r="P14" t="s">
        <v>33</v>
      </c>
      <c r="R14" s="9" t="s">
        <v>34</v>
      </c>
    </row>
    <row r="15" spans="1:18">
      <c r="P15" t="s">
        <v>35</v>
      </c>
      <c r="R15" s="9" t="s">
        <v>36</v>
      </c>
    </row>
    <row r="16" spans="1:18" s="15" customFormat="1" ht="36" customHeight="1">
      <c r="P16" t="s">
        <v>37</v>
      </c>
      <c r="Q16"/>
      <c r="R16" s="9" t="s">
        <v>38</v>
      </c>
    </row>
    <row r="17" spans="1:18">
      <c r="P17" t="s">
        <v>39</v>
      </c>
      <c r="R17" t="s">
        <v>40</v>
      </c>
    </row>
    <row r="18" spans="1:18">
      <c r="A18" s="6"/>
      <c r="P18" t="s">
        <v>41</v>
      </c>
      <c r="R18" t="s">
        <v>42</v>
      </c>
    </row>
    <row r="19" spans="1:18">
      <c r="P19" t="s">
        <v>43</v>
      </c>
      <c r="R19" t="s">
        <v>44</v>
      </c>
    </row>
    <row r="20" spans="1:18">
      <c r="A20" s="6"/>
      <c r="P20" t="s">
        <v>45</v>
      </c>
      <c r="R20" t="s">
        <v>46</v>
      </c>
    </row>
    <row r="21" spans="1:18">
      <c r="P21" t="s">
        <v>47</v>
      </c>
      <c r="R21" t="s">
        <v>48</v>
      </c>
    </row>
    <row r="22" spans="1:18">
      <c r="A22" s="6"/>
      <c r="P22" t="s">
        <v>49</v>
      </c>
      <c r="R22" t="s">
        <v>50</v>
      </c>
    </row>
    <row r="23" spans="1:18">
      <c r="P23" t="s">
        <v>51</v>
      </c>
      <c r="R23" t="s">
        <v>52</v>
      </c>
    </row>
    <row r="24" spans="1:18">
      <c r="P24" t="s">
        <v>53</v>
      </c>
      <c r="R24" t="s">
        <v>54</v>
      </c>
    </row>
    <row r="25" spans="1:18">
      <c r="P25" t="s">
        <v>55</v>
      </c>
      <c r="R25" s="22" t="s">
        <v>56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8"/>
  <sheetViews>
    <sheetView zoomScale="130" zoomScaleNormal="130" workbookViewId="0">
      <selection activeCell="F5" sqref="F5:F6"/>
    </sheetView>
  </sheetViews>
  <sheetFormatPr defaultRowHeight="15"/>
  <cols>
    <col min="1" max="1" width="44.7109375" bestFit="1" customWidth="1"/>
    <col min="2" max="2" width="18.7109375" customWidth="1"/>
    <col min="6" max="6" width="16.5703125" bestFit="1" customWidth="1"/>
    <col min="7" max="7" width="11.5703125" customWidth="1"/>
  </cols>
  <sheetData>
    <row r="1" spans="1:17">
      <c r="A1" s="84" t="s">
        <v>128</v>
      </c>
      <c r="B1" s="84" t="s">
        <v>244</v>
      </c>
      <c r="C1" s="84" t="s">
        <v>245</v>
      </c>
      <c r="D1" s="84" t="s">
        <v>246</v>
      </c>
      <c r="E1" s="84" t="s">
        <v>130</v>
      </c>
      <c r="F1" s="84" t="s">
        <v>2</v>
      </c>
      <c r="G1" s="84" t="s">
        <v>167</v>
      </c>
      <c r="K1" s="76" t="s">
        <v>215</v>
      </c>
    </row>
    <row r="2" spans="1:17">
      <c r="A2" s="24" t="s">
        <v>239</v>
      </c>
      <c r="B2" s="108">
        <f>SUM(BM_Bcell_progenitor!$D$2:$D$4)/SUM(BM_Bcell_progenitor!$D$2:$D$5)</f>
        <v>0.52400000000000002</v>
      </c>
      <c r="C2" s="108">
        <f>SUM(BM_Bcell_progenitor!$C$2:$C$4)/SUM(BM_Bcell_progenitor!$C$2:$C$5)</f>
        <v>0.52941176470588236</v>
      </c>
      <c r="D2" s="107"/>
      <c r="E2" s="24" t="s">
        <v>127</v>
      </c>
      <c r="F2" s="24" t="s">
        <v>238</v>
      </c>
      <c r="G2" s="24" t="s">
        <v>208</v>
      </c>
      <c r="K2" t="s">
        <v>198</v>
      </c>
    </row>
    <row r="3" spans="1:17">
      <c r="A3" s="24" t="s">
        <v>240</v>
      </c>
      <c r="B3" s="108">
        <f>BM_Bcell_progenitor!$D$5/SUM(BM_Bcell_progenitor!$D$2:$D$5)</f>
        <v>0.47599999999999998</v>
      </c>
      <c r="C3" s="108">
        <f>BM_Bcell_progenitor!$C$5/SUM(BM_Bcell_progenitor!$C$2:$C$5)</f>
        <v>0.4705882352941177</v>
      </c>
      <c r="D3" s="107"/>
      <c r="E3" s="24" t="s">
        <v>127</v>
      </c>
      <c r="F3" s="24" t="s">
        <v>238</v>
      </c>
      <c r="G3" s="24" t="s">
        <v>208</v>
      </c>
      <c r="K3" t="s">
        <v>197</v>
      </c>
      <c r="L3" s="53"/>
      <c r="M3" s="55"/>
      <c r="N3" s="55"/>
      <c r="O3" s="55"/>
      <c r="P3" s="70"/>
      <c r="Q3" s="70"/>
    </row>
    <row r="4" spans="1:17">
      <c r="A4" s="24" t="s">
        <v>241</v>
      </c>
      <c r="B4" s="109">
        <f>SUMPRODUCT(BM_Bcell_progenitor!D$2:D$4,BM_Bcell_progenitor!F$2:F$4)/SUM(BM_Bcell_progenitor!D$2:D$4)</f>
        <v>5.1473282442748083E-2</v>
      </c>
      <c r="C4" s="109">
        <f>SUMPRODUCT(BM_Bcell_progenitor!C$2:C$4,BM_Bcell_progenitor!E$2:E$4)/SUM(BM_Bcell_progenitor!C$2:C$4)</f>
        <v>0.12872222222222224</v>
      </c>
      <c r="D4" s="25"/>
      <c r="E4" s="24" t="s">
        <v>243</v>
      </c>
      <c r="F4" s="24" t="s">
        <v>238</v>
      </c>
      <c r="G4" s="24" t="s">
        <v>208</v>
      </c>
      <c r="K4" t="s">
        <v>196</v>
      </c>
      <c r="L4" s="53"/>
      <c r="M4" s="55"/>
      <c r="N4" s="55"/>
      <c r="O4" s="55"/>
      <c r="P4" s="70"/>
      <c r="Q4" s="70"/>
    </row>
    <row r="5" spans="1:17">
      <c r="A5" s="24" t="s">
        <v>242</v>
      </c>
      <c r="B5" s="108">
        <f>BM_Bcell_progenitor!F5</f>
        <v>0.03</v>
      </c>
      <c r="C5" s="108">
        <f>BM_Bcell_progenitor!E5</f>
        <v>0.03</v>
      </c>
      <c r="D5" s="107"/>
      <c r="E5" s="24" t="s">
        <v>243</v>
      </c>
      <c r="F5" s="24" t="s">
        <v>238</v>
      </c>
      <c r="G5" s="24" t="s">
        <v>208</v>
      </c>
      <c r="K5" t="s">
        <v>213</v>
      </c>
      <c r="L5" s="1"/>
      <c r="M5" s="55"/>
      <c r="N5" s="55"/>
      <c r="O5" s="55"/>
      <c r="P5" s="70"/>
      <c r="Q5" s="70"/>
    </row>
    <row r="6" spans="1:17">
      <c r="A6" t="s">
        <v>209</v>
      </c>
      <c r="C6" s="94">
        <f t="shared" ref="C6" si="0">1.13*6/24</f>
        <v>0.28249999999999997</v>
      </c>
      <c r="D6" s="93">
        <f t="shared" ref="D6" si="1">(1.5-1.1)*6/24/4</f>
        <v>2.4999999999999994E-2</v>
      </c>
      <c r="E6" t="s">
        <v>210</v>
      </c>
      <c r="F6" t="s">
        <v>212</v>
      </c>
      <c r="G6" t="s">
        <v>208</v>
      </c>
      <c r="K6" t="s">
        <v>214</v>
      </c>
      <c r="L6" s="1"/>
      <c r="M6" s="55"/>
      <c r="N6" s="55"/>
      <c r="O6" s="55"/>
      <c r="P6" s="70"/>
      <c r="Q6" s="70"/>
    </row>
    <row r="7" spans="1:17">
      <c r="A7" t="s">
        <v>216</v>
      </c>
      <c r="C7" s="95">
        <f>17.4*6/24</f>
        <v>4.3499999999999996</v>
      </c>
      <c r="D7" s="96">
        <f>(20.4-13.2)*6/24/4</f>
        <v>0.44999999999999996</v>
      </c>
      <c r="E7" t="s">
        <v>210</v>
      </c>
      <c r="F7" t="s">
        <v>212</v>
      </c>
      <c r="G7" t="s">
        <v>208</v>
      </c>
      <c r="L7" s="1"/>
      <c r="M7" s="55"/>
      <c r="N7" s="55"/>
      <c r="O7" s="55"/>
      <c r="P7" s="70"/>
      <c r="Q7" s="70"/>
    </row>
    <row r="8" spans="1:17">
      <c r="A8" t="s">
        <v>205</v>
      </c>
      <c r="C8" s="4">
        <f>0.1*4</f>
        <v>0.4</v>
      </c>
      <c r="D8" s="4">
        <f>4*(0.2-0.02)/4</f>
        <v>0.18000000000000002</v>
      </c>
      <c r="E8" t="s">
        <v>217</v>
      </c>
      <c r="F8" t="s">
        <v>212</v>
      </c>
      <c r="G8" t="s">
        <v>208</v>
      </c>
      <c r="M8" s="55"/>
      <c r="N8" s="55"/>
      <c r="O8" s="55"/>
      <c r="P8" s="70"/>
      <c r="Q8" s="70"/>
    </row>
    <row r="9" spans="1:17">
      <c r="A9" t="s">
        <v>206</v>
      </c>
      <c r="C9" s="6">
        <f>4*0.03</f>
        <v>0.12</v>
      </c>
      <c r="D9" s="6">
        <f>4*(0.05-0.02)/4</f>
        <v>3.0000000000000002E-2</v>
      </c>
      <c r="E9" t="s">
        <v>217</v>
      </c>
      <c r="F9" t="s">
        <v>212</v>
      </c>
      <c r="G9" t="s">
        <v>208</v>
      </c>
      <c r="M9" s="55"/>
      <c r="N9" s="55"/>
      <c r="O9" s="55"/>
      <c r="P9" s="70"/>
      <c r="Q9" s="70"/>
    </row>
    <row r="10" spans="1:17">
      <c r="A10" t="s">
        <v>219</v>
      </c>
      <c r="C10" s="67">
        <f>0.6*4</f>
        <v>2.4</v>
      </c>
      <c r="D10" s="67">
        <f>4*(0.75-0.5)/4</f>
        <v>0.25</v>
      </c>
      <c r="E10" t="s">
        <v>217</v>
      </c>
      <c r="F10" t="s">
        <v>212</v>
      </c>
      <c r="G10" t="s">
        <v>208</v>
      </c>
      <c r="M10" s="55"/>
      <c r="N10" s="55"/>
      <c r="O10" s="55"/>
      <c r="P10" s="70"/>
      <c r="Q10" s="70"/>
    </row>
    <row r="11" spans="1:17">
      <c r="A11" t="s">
        <v>220</v>
      </c>
      <c r="C11" s="97">
        <f>0.19*4</f>
        <v>0.76</v>
      </c>
      <c r="D11" s="97">
        <f>4*(0.22-0.1)/4</f>
        <v>0.12</v>
      </c>
      <c r="E11" t="s">
        <v>217</v>
      </c>
      <c r="F11" t="s">
        <v>212</v>
      </c>
      <c r="G11" t="s">
        <v>208</v>
      </c>
      <c r="M11" s="55"/>
      <c r="N11" s="55"/>
      <c r="O11" s="55"/>
      <c r="P11" s="70"/>
      <c r="Q11" s="70"/>
    </row>
    <row r="12" spans="1:17">
      <c r="A12" s="98" t="s">
        <v>218</v>
      </c>
      <c r="B12" s="110"/>
      <c r="C12" s="97">
        <f>0.03*4</f>
        <v>0.12</v>
      </c>
      <c r="D12" s="97">
        <f>4*(0.04-0.014)/4</f>
        <v>2.6000000000000002E-2</v>
      </c>
      <c r="E12" t="s">
        <v>217</v>
      </c>
      <c r="F12" t="s">
        <v>212</v>
      </c>
      <c r="G12" t="s">
        <v>208</v>
      </c>
      <c r="M12" s="55"/>
      <c r="N12" s="55"/>
      <c r="O12" s="55"/>
      <c r="P12" s="70"/>
      <c r="Q12" s="70"/>
    </row>
    <row r="13" spans="1:17">
      <c r="A13" s="100" t="s">
        <v>221</v>
      </c>
      <c r="B13" s="100"/>
      <c r="C13" s="101">
        <v>0.15</v>
      </c>
      <c r="D13" s="1">
        <v>0.05</v>
      </c>
      <c r="E13" t="s">
        <v>127</v>
      </c>
      <c r="F13" t="s">
        <v>211</v>
      </c>
      <c r="G13" t="s">
        <v>208</v>
      </c>
      <c r="M13" s="55"/>
      <c r="N13" s="55"/>
      <c r="O13" s="55"/>
      <c r="P13" s="70"/>
      <c r="Q13" s="70"/>
    </row>
    <row r="14" spans="1:17">
      <c r="A14" s="100" t="s">
        <v>224</v>
      </c>
      <c r="B14" s="100"/>
      <c r="C14" s="101">
        <v>0.2</v>
      </c>
      <c r="D14" s="68"/>
      <c r="E14" t="s">
        <v>127</v>
      </c>
      <c r="F14" t="s">
        <v>211</v>
      </c>
      <c r="G14" t="s">
        <v>208</v>
      </c>
    </row>
    <row r="15" spans="1:17">
      <c r="A15" s="24" t="s">
        <v>247</v>
      </c>
      <c r="B15" s="74"/>
      <c r="C15" s="92">
        <f>15*10^6</f>
        <v>15000000</v>
      </c>
      <c r="D15" s="92">
        <f>5*10^6</f>
        <v>5000000</v>
      </c>
      <c r="E15" s="24" t="s">
        <v>222</v>
      </c>
      <c r="F15" t="s">
        <v>211</v>
      </c>
      <c r="G15" t="s">
        <v>208</v>
      </c>
    </row>
    <row r="16" spans="1:17">
      <c r="A16" s="100" t="s">
        <v>223</v>
      </c>
      <c r="B16" s="100"/>
      <c r="C16" s="92">
        <f>35000000/14</f>
        <v>2500000</v>
      </c>
      <c r="D16" s="68"/>
      <c r="E16" t="s">
        <v>222</v>
      </c>
      <c r="F16" t="s">
        <v>211</v>
      </c>
      <c r="G16" t="s">
        <v>208</v>
      </c>
    </row>
    <row r="17" spans="1:7">
      <c r="A17" s="100" t="s">
        <v>220</v>
      </c>
      <c r="B17" s="100"/>
      <c r="C17" s="92">
        <f>22500000/14</f>
        <v>1607142.857142857</v>
      </c>
      <c r="D17" s="68"/>
      <c r="E17" t="s">
        <v>222</v>
      </c>
      <c r="F17" t="s">
        <v>211</v>
      </c>
      <c r="G17" t="s">
        <v>208</v>
      </c>
    </row>
    <row r="18" spans="1:7">
      <c r="A18" s="100" t="s">
        <v>253</v>
      </c>
      <c r="B18" s="100"/>
      <c r="C18" s="54">
        <f>C17/C16</f>
        <v>0.64285714285714279</v>
      </c>
      <c r="D18" s="68"/>
      <c r="E18" t="s">
        <v>127</v>
      </c>
      <c r="F18" t="s">
        <v>211</v>
      </c>
      <c r="G18" t="s">
        <v>208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H11"/>
  <sheetViews>
    <sheetView zoomScale="130" zoomScaleNormal="130" workbookViewId="0">
      <selection activeCell="C14" sqref="C14"/>
    </sheetView>
  </sheetViews>
  <sheetFormatPr defaultRowHeight="15"/>
  <cols>
    <col min="1" max="1" width="31.28515625" bestFit="1" customWidth="1"/>
    <col min="2" max="2" width="14.85546875" customWidth="1"/>
    <col min="4" max="4" width="9" bestFit="1" customWidth="1"/>
    <col min="5" max="5" width="27" bestFit="1" customWidth="1"/>
  </cols>
  <sheetData>
    <row r="1" spans="1:8">
      <c r="A1" s="84" t="s">
        <v>128</v>
      </c>
      <c r="B1" s="84" t="s">
        <v>129</v>
      </c>
      <c r="C1" s="84" t="s">
        <v>130</v>
      </c>
      <c r="D1" s="84" t="s">
        <v>1</v>
      </c>
      <c r="E1" s="84" t="s">
        <v>2</v>
      </c>
      <c r="H1" s="76" t="s">
        <v>2</v>
      </c>
    </row>
    <row r="2" spans="1:8">
      <c r="A2" s="82" t="s">
        <v>199</v>
      </c>
      <c r="B2" s="81">
        <f>10.4*10^9</f>
        <v>10400000000</v>
      </c>
      <c r="C2" s="24" t="s">
        <v>200</v>
      </c>
      <c r="D2" s="87">
        <f>3.4*10^9/SQRT(10)</f>
        <v>1075174404.4572489</v>
      </c>
      <c r="E2" t="s">
        <v>228</v>
      </c>
      <c r="H2" t="s">
        <v>203</v>
      </c>
    </row>
    <row r="3" spans="1:8">
      <c r="A3" s="83" t="s">
        <v>201</v>
      </c>
      <c r="B3" s="81">
        <f>11.1*10^9</f>
        <v>11100000000</v>
      </c>
      <c r="C3" s="24" t="s">
        <v>200</v>
      </c>
      <c r="D3" s="87">
        <f>5.2*10^9/SQRT(10)</f>
        <v>1644384383.2875571</v>
      </c>
      <c r="E3" t="s">
        <v>228</v>
      </c>
      <c r="H3" s="41" t="s">
        <v>147</v>
      </c>
    </row>
    <row r="4" spans="1:8">
      <c r="A4" s="85" t="s">
        <v>202</v>
      </c>
      <c r="B4" s="47">
        <v>3.4000000000000002E-2</v>
      </c>
      <c r="C4" s="85" t="s">
        <v>127</v>
      </c>
      <c r="D4" s="86"/>
      <c r="E4" t="s">
        <v>228</v>
      </c>
      <c r="H4" t="s">
        <v>236</v>
      </c>
    </row>
    <row r="5" spans="1:8">
      <c r="A5" s="103" t="s">
        <v>227</v>
      </c>
      <c r="B5" s="104">
        <v>0.3</v>
      </c>
      <c r="C5" s="85" t="s">
        <v>127</v>
      </c>
      <c r="D5" s="86">
        <v>0.1</v>
      </c>
      <c r="E5" t="s">
        <v>229</v>
      </c>
      <c r="H5" t="s">
        <v>237</v>
      </c>
    </row>
    <row r="6" spans="1:8">
      <c r="A6" s="103" t="s">
        <v>232</v>
      </c>
      <c r="B6" s="105">
        <v>7.6999999999999999E-2</v>
      </c>
      <c r="C6" s="85" t="s">
        <v>127</v>
      </c>
      <c r="D6" s="99"/>
      <c r="E6" t="s">
        <v>226</v>
      </c>
    </row>
    <row r="7" spans="1:8">
      <c r="A7" s="103" t="s">
        <v>233</v>
      </c>
      <c r="B7" s="106">
        <v>0.57299999999999995</v>
      </c>
      <c r="C7" s="85" t="s">
        <v>127</v>
      </c>
      <c r="D7" s="99"/>
      <c r="E7" t="s">
        <v>226</v>
      </c>
    </row>
    <row r="8" spans="1:8">
      <c r="A8" s="103" t="s">
        <v>230</v>
      </c>
      <c r="B8" s="53">
        <v>6.9000000000000006E-2</v>
      </c>
      <c r="C8" s="85" t="s">
        <v>127</v>
      </c>
      <c r="E8" t="s">
        <v>226</v>
      </c>
    </row>
    <row r="9" spans="1:8">
      <c r="A9" s="99" t="s">
        <v>231</v>
      </c>
      <c r="B9" s="106">
        <v>6.8000000000000005E-2</v>
      </c>
      <c r="C9" s="85" t="s">
        <v>127</v>
      </c>
      <c r="D9" s="99"/>
      <c r="E9" t="s">
        <v>226</v>
      </c>
    </row>
    <row r="10" spans="1:8">
      <c r="A10" s="99" t="s">
        <v>235</v>
      </c>
      <c r="B10" s="106">
        <v>0.20300000000000001</v>
      </c>
      <c r="C10" s="85" t="s">
        <v>127</v>
      </c>
      <c r="D10" s="99"/>
      <c r="E10" t="s">
        <v>226</v>
      </c>
    </row>
    <row r="11" spans="1:8">
      <c r="A11" s="99"/>
      <c r="B11" s="99"/>
      <c r="C11" s="85"/>
      <c r="D11" s="99"/>
      <c r="E11" s="9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J15" sqref="J15"/>
    </sheetView>
  </sheetViews>
  <sheetFormatPr defaultRowHeight="15"/>
  <cols>
    <col min="1" max="1" width="30.140625" bestFit="1" customWidth="1"/>
    <col min="2" max="2" width="14.5703125" customWidth="1"/>
    <col min="3" max="4" width="18.28515625" customWidth="1"/>
    <col min="5" max="5" width="17.5703125" customWidth="1"/>
    <col min="6" max="6" width="13" customWidth="1"/>
    <col min="8" max="8" width="12.85546875" customWidth="1"/>
  </cols>
  <sheetData>
    <row r="1" spans="1:12">
      <c r="A1" t="s">
        <v>183</v>
      </c>
      <c r="B1" t="s">
        <v>185</v>
      </c>
      <c r="C1" t="s">
        <v>189</v>
      </c>
      <c r="D1" t="s">
        <v>184</v>
      </c>
      <c r="E1" t="s">
        <v>192</v>
      </c>
      <c r="F1" t="s">
        <v>193</v>
      </c>
      <c r="G1" t="s">
        <v>194</v>
      </c>
      <c r="H1" t="s">
        <v>195</v>
      </c>
      <c r="L1" s="76" t="s">
        <v>2</v>
      </c>
    </row>
    <row r="2" spans="1:12">
      <c r="A2" t="s">
        <v>190</v>
      </c>
      <c r="B2">
        <v>1</v>
      </c>
      <c r="C2" s="53">
        <v>1.7000000000000001E-2</v>
      </c>
      <c r="D2" s="55">
        <v>3.1E-2</v>
      </c>
      <c r="E2" s="55">
        <v>7.0000000000000007E-2</v>
      </c>
      <c r="F2" s="55">
        <v>2.8000000000000001E-2</v>
      </c>
      <c r="G2" s="70">
        <f>7.5*10^6</f>
        <v>7500000</v>
      </c>
      <c r="H2" s="70">
        <f>70*10^6</f>
        <v>70000000</v>
      </c>
      <c r="L2" t="s">
        <v>198</v>
      </c>
    </row>
    <row r="3" spans="1:12">
      <c r="A3" t="s">
        <v>186</v>
      </c>
      <c r="B3">
        <v>1</v>
      </c>
      <c r="C3" s="53">
        <v>4.2999999999999997E-2</v>
      </c>
      <c r="D3" s="55">
        <v>5.5E-2</v>
      </c>
      <c r="E3" s="55">
        <v>0.13500000000000001</v>
      </c>
      <c r="F3" s="55">
        <v>5.1999999999999998E-2</v>
      </c>
      <c r="G3" s="70">
        <f>36*10^6</f>
        <v>36000000</v>
      </c>
      <c r="H3" s="70">
        <f>260*10^6</f>
        <v>260000000</v>
      </c>
      <c r="L3" t="s">
        <v>197</v>
      </c>
    </row>
    <row r="4" spans="1:12">
      <c r="A4" t="s">
        <v>187</v>
      </c>
      <c r="B4">
        <v>1</v>
      </c>
      <c r="C4" s="1">
        <v>0.03</v>
      </c>
      <c r="D4" s="55">
        <v>4.4999999999999998E-2</v>
      </c>
      <c r="E4" s="55">
        <v>0.153</v>
      </c>
      <c r="F4" s="55">
        <v>6.7000000000000004E-2</v>
      </c>
      <c r="G4" s="70">
        <f>35*10^6</f>
        <v>35000000</v>
      </c>
      <c r="H4" s="70">
        <f>320*10^6</f>
        <v>320000000</v>
      </c>
      <c r="L4" t="s">
        <v>196</v>
      </c>
    </row>
    <row r="5" spans="1:12">
      <c r="A5" t="s">
        <v>188</v>
      </c>
      <c r="B5">
        <v>0</v>
      </c>
      <c r="C5" s="1">
        <v>0.08</v>
      </c>
      <c r="D5" s="55">
        <v>0.11899999999999999</v>
      </c>
      <c r="E5" s="55">
        <v>0.03</v>
      </c>
      <c r="F5" s="55">
        <v>0.03</v>
      </c>
      <c r="G5" s="70">
        <f>17*10^6</f>
        <v>17000000</v>
      </c>
      <c r="H5" s="70">
        <f>420*10^6</f>
        <v>420000000</v>
      </c>
    </row>
    <row r="6" spans="1:12">
      <c r="A6" t="s">
        <v>191</v>
      </c>
      <c r="B6">
        <v>0</v>
      </c>
      <c r="C6" s="1">
        <v>0.08</v>
      </c>
      <c r="D6" s="55">
        <v>4.1000000000000002E-2</v>
      </c>
      <c r="E6" s="55"/>
      <c r="F6" s="55"/>
      <c r="G6" s="70"/>
      <c r="H6" s="70"/>
    </row>
    <row r="11" spans="1:12">
      <c r="C11" s="54"/>
      <c r="D11" s="54"/>
    </row>
    <row r="14" spans="1:12">
      <c r="B14" s="72"/>
      <c r="C14" s="55"/>
      <c r="D14" s="70"/>
      <c r="E14" s="55"/>
      <c r="F14" s="70"/>
      <c r="G14" s="70"/>
    </row>
    <row r="15" spans="1:12">
      <c r="B15" s="72"/>
      <c r="C15" s="55"/>
      <c r="D15" s="70"/>
      <c r="E15" s="55"/>
      <c r="F15" s="70"/>
      <c r="G15" s="70"/>
    </row>
    <row r="16" spans="1:12">
      <c r="B16" s="72"/>
      <c r="C16" s="55"/>
      <c r="D16" s="70"/>
      <c r="E16" s="55"/>
      <c r="F16" s="70"/>
      <c r="G16" s="70"/>
    </row>
    <row r="17" spans="2:7">
      <c r="B17" s="72"/>
      <c r="C17" s="55"/>
      <c r="D17" s="70"/>
      <c r="E17" s="55"/>
      <c r="F17" s="70"/>
      <c r="G17" s="70"/>
    </row>
    <row r="18" spans="2:7">
      <c r="B18" s="1"/>
      <c r="C18" s="55"/>
      <c r="D18" s="70"/>
      <c r="E18" s="55"/>
      <c r="F18" s="70"/>
      <c r="G18" s="70"/>
    </row>
    <row r="50" spans="12:12">
      <c r="L50" t="s">
        <v>226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Total_lymph_data</vt:lpstr>
      <vt:lpstr>Lymph_mass</vt:lpstr>
      <vt:lpstr>T_Cell_Distribution</vt:lpstr>
      <vt:lpstr>T_cells_proliferation</vt:lpstr>
      <vt:lpstr>Thymus_data</vt:lpstr>
      <vt:lpstr>Thymus_data_mice</vt:lpstr>
      <vt:lpstr>B_progenitors_turnover</vt:lpstr>
      <vt:lpstr>BM_cellularity</vt:lpstr>
      <vt:lpstr>BM_Bcell_progenitor</vt:lpstr>
      <vt:lpstr>B_transitional</vt:lpstr>
      <vt:lpstr>B_cells_proliferation</vt:lpstr>
      <vt:lpstr>B_Cell_Distribution</vt:lpstr>
      <vt:lpstr>Timmermans et al., 2016</vt:lpstr>
      <vt:lpstr>B-T-NK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2019-10-07T13:19:18Z</dcterms:modified>
</cp:coreProperties>
</file>