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Blood_concentration" sheetId="1" r:id="rId1"/>
    <sheet name="BM_population" sheetId="4" r:id="rId2"/>
    <sheet name="Blood_Volume" sheetId="3" r:id="rId3"/>
    <sheet name="Subpopulations" sheetId="2" r:id="rId4"/>
    <sheet name="Kinetics_model" sheetId="5" r:id="rId5"/>
    <sheet name="Volume_and_mass" sheetId="6" r:id="rId6"/>
  </sheets>
  <calcPr calcId="162913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6" l="1"/>
  <c r="F5" i="6"/>
  <c r="F4" i="6"/>
  <c r="F2" i="6"/>
  <c r="D2" i="6"/>
  <c r="B2" i="6"/>
  <c r="F3" i="6"/>
  <c r="F2" i="4"/>
  <c r="F3" i="4"/>
  <c r="D3" i="4"/>
  <c r="B3" i="4"/>
  <c r="D2" i="4"/>
  <c r="B2" i="4"/>
  <c r="M3" i="1"/>
  <c r="F2" i="1"/>
  <c r="F3" i="1"/>
  <c r="F4" i="1"/>
  <c r="F5" i="1"/>
  <c r="F6" i="1"/>
  <c r="B6" i="1"/>
  <c r="H6" i="1"/>
  <c r="E2" i="2"/>
  <c r="E3" i="2"/>
  <c r="E4" i="2"/>
  <c r="E2" i="3"/>
  <c r="E5" i="3"/>
  <c r="E4" i="3"/>
  <c r="E3" i="3"/>
  <c r="K2" i="1"/>
  <c r="K3" i="1"/>
  <c r="K5" i="1"/>
  <c r="M4" i="1"/>
  <c r="H2" i="1"/>
  <c r="H3" i="1"/>
  <c r="H4" i="1"/>
  <c r="G5" i="1"/>
  <c r="H5" i="1"/>
  <c r="M5" i="1"/>
</calcChain>
</file>

<file path=xl/sharedStrings.xml><?xml version="1.0" encoding="utf-8"?>
<sst xmlns="http://schemas.openxmlformats.org/spreadsheetml/2006/main" count="121" uniqueCount="83">
  <si>
    <t>source</t>
  </si>
  <si>
    <t>SD</t>
  </si>
  <si>
    <t>sources</t>
  </si>
  <si>
    <r>
      <t xml:space="preserve">Wakeman L, et al. (2007) Robust, routine haematology reference ranges for healthy adults. </t>
    </r>
    <r>
      <rPr>
        <i/>
        <sz val="11"/>
        <color theme="1"/>
        <rFont val="Calibri"/>
        <family val="2"/>
      </rPr>
      <t>Int J Lab Hematol</t>
    </r>
    <r>
      <rPr>
        <sz val="11"/>
        <color theme="1"/>
        <rFont val="Calibri"/>
        <family val="2"/>
      </rPr>
      <t xml:space="preserve"> 29(4):279–83.</t>
    </r>
  </si>
  <si>
    <r>
      <t xml:space="preserve">Pekelharing JM, et al. (2010) Haematology reference intervals for established and novel parameters in healthy adults. </t>
    </r>
    <r>
      <rPr>
        <i/>
        <sz val="11"/>
        <color theme="1"/>
        <rFont val="Calibri"/>
        <family val="2"/>
      </rPr>
      <t>Diagnostic Perspect</t>
    </r>
    <r>
      <rPr>
        <sz val="11"/>
        <color theme="1"/>
        <rFont val="Calibri"/>
        <family val="2"/>
      </rPr>
      <t xml:space="preserve"> 1:1–11.</t>
    </r>
  </si>
  <si>
    <r>
      <t xml:space="preserve">Ambayya A, et al. (2014) Haematological reference intervals in a multiethnic population. </t>
    </r>
    <r>
      <rPr>
        <i/>
        <sz val="11"/>
        <color theme="1"/>
        <rFont val="Calibri"/>
        <family val="2"/>
      </rPr>
      <t>PLoS One</t>
    </r>
    <r>
      <rPr>
        <sz val="11"/>
        <color theme="1"/>
        <rFont val="Calibri"/>
        <family val="2"/>
      </rPr>
      <t xml:space="preserve"> 9(3):1–7.</t>
    </r>
  </si>
  <si>
    <r>
      <t xml:space="preserve">Dosoo DK, et al. (2012) Haematological and biochemical reference values for healthy adults in the Middle Belt of Ghana. </t>
    </r>
    <r>
      <rPr>
        <i/>
        <sz val="11"/>
        <color theme="1"/>
        <rFont val="Calibri"/>
        <family val="2"/>
      </rPr>
      <t>PLoS One</t>
    </r>
    <r>
      <rPr>
        <sz val="11"/>
        <color theme="1"/>
        <rFont val="Calibri"/>
        <family val="2"/>
      </rPr>
      <t xml:space="preserve"> 7(4):1–9. </t>
    </r>
  </si>
  <si>
    <t>n</t>
  </si>
  <si>
    <t>SEM</t>
  </si>
  <si>
    <t>population</t>
  </si>
  <si>
    <t>Malay, Chinese and Indian</t>
  </si>
  <si>
    <t>Wakeman et al., 2007</t>
  </si>
  <si>
    <t>Ambayya et al., 2014</t>
  </si>
  <si>
    <t>British</t>
  </si>
  <si>
    <t>Pekelharing et al., 2010</t>
  </si>
  <si>
    <t>hostpital employees from Germany/Netherlands</t>
  </si>
  <si>
    <t>Middle Belt of Ghana</t>
  </si>
  <si>
    <t>Dosoo et al., 2012</t>
  </si>
  <si>
    <t>mean [10^9 cells/liter]</t>
  </si>
  <si>
    <t>median [10^9 cells/liter]</t>
  </si>
  <si>
    <t>min reg range</t>
  </si>
  <si>
    <t>max reg range</t>
  </si>
  <si>
    <t>Nadler, 1962 (4)</t>
  </si>
  <si>
    <t>Boer, 1984 (2)</t>
  </si>
  <si>
    <t>Snyder,1975 (1)</t>
  </si>
  <si>
    <t>sources:</t>
  </si>
  <si>
    <t>SD [L]</t>
  </si>
  <si>
    <t>mean [L]</t>
  </si>
  <si>
    <t>comment</t>
  </si>
  <si>
    <t>N</t>
  </si>
  <si>
    <t>from height normalization</t>
  </si>
  <si>
    <t>from mass normalization</t>
  </si>
  <si>
    <t>Boer, 1984 (1)</t>
  </si>
  <si>
    <t>Boer, 1984 (3)</t>
  </si>
  <si>
    <t>from surface area</t>
  </si>
  <si>
    <t>SEM [L]</t>
  </si>
  <si>
    <t>weight formula</t>
  </si>
  <si>
    <t>SA formula</t>
  </si>
  <si>
    <t>height cubed-body mass formula</t>
  </si>
  <si>
    <t>mean %</t>
  </si>
  <si>
    <t>Wong KL, Jing-Yi Tai J, Wong W-C, Han H, Sem X, Yeap W-H, et al. Gene expression profiling reveals the defining features of the classical, intermediate, and nonclassical human monocyte subsets New official nomenclature subdivides human monocytes into 3 subsets: the classical (CD14 CD16 ), intermediate (CD14 CD16 ), and. Blood. 2011;118: 16–32. doi:10.1182/blood-2010</t>
  </si>
  <si>
    <t>Kim JH, Lee YJ, Park B. Higher monocyte count with normal white blood cell count is positively associated with 10-year cardiovascular disease risk determined by Framingham risk score among community-dwelling Korean individuals. Medicine (Baltimore). 2019;98: e15340. doi:10.1097/MD.0000000000015340</t>
  </si>
  <si>
    <t>Korean men</t>
  </si>
  <si>
    <t>Kim et al., 2019</t>
  </si>
  <si>
    <t>parameter</t>
  </si>
  <si>
    <t>value</t>
  </si>
  <si>
    <t>units</t>
  </si>
  <si>
    <t>comments</t>
  </si>
  <si>
    <t>%</t>
  </si>
  <si>
    <t>rib marrow nucleated cells</t>
  </si>
  <si>
    <t>cells/kg</t>
  </si>
  <si>
    <t>Harrison, 1962</t>
  </si>
  <si>
    <t>monocytes nuceleated cells</t>
  </si>
  <si>
    <t>Harrison WJ. The total cellularity of the bone marrow in man. J Clin Pathol. 1962;15: 254–9. Available: http://www.pubmedcentral.nih.gov/articlerender.fcgi?artid=480393&amp;tool=pmcentrez&amp;rendertype=abstract</t>
  </si>
  <si>
    <t>Source</t>
  </si>
  <si>
    <t>aspirated marrow nucleated cells</t>
  </si>
  <si>
    <t>classical monocytes</t>
  </si>
  <si>
    <t>blood</t>
  </si>
  <si>
    <t>intermediate monocytes</t>
  </si>
  <si>
    <t>pool</t>
  </si>
  <si>
    <t>organ</t>
  </si>
  <si>
    <t>bone marrow</t>
  </si>
  <si>
    <t>mean lifespan [d]</t>
  </si>
  <si>
    <t>SEM lifespan [d]</t>
  </si>
  <si>
    <t>percentage transing</t>
  </si>
  <si>
    <t>percentage transing SEM</t>
  </si>
  <si>
    <t>Patel AA, Zhang Y, Fullerton JN, Boelen L, Rongvaux A, Maini AA, et al. The fate and lifespan of human monocyte subsets in steady state and systemic inflammation. J Exp Med. 2017;214: 1913–1923. doi:10.1084/jem.20170355</t>
  </si>
  <si>
    <t>non-classical monocytes</t>
  </si>
  <si>
    <t>proliferation SEM [1/d]</t>
  </si>
  <si>
    <t>proliferation rate [1/d]</t>
  </si>
  <si>
    <t>not lifespan - but a 1.6 days delay from proliferation to blood</t>
  </si>
  <si>
    <t>Zipursky et al., 1976</t>
  </si>
  <si>
    <t>monocyte volume</t>
  </si>
  <si>
    <t>fl</t>
  </si>
  <si>
    <t>monocyte mass density</t>
  </si>
  <si>
    <t>g/ml</t>
  </si>
  <si>
    <t>Nibbering et al., 1990</t>
  </si>
  <si>
    <t>Chapam et al., 1981</t>
  </si>
  <si>
    <t>Ince et al., 1987</t>
  </si>
  <si>
    <t xml:space="preserve">Zipursky A, Bow E, Seshadri S, Brown EJ. Leukocyte Density and Volume in Normal Subjecs and in Patients With Acute Lymphoblastic Leukemia. Blood. 1976;48: 361–371. </t>
  </si>
  <si>
    <t>Chapman EH, Kurec AS, Davey FR. Cell volumes of normal and malignant mononuclear cells. J Clin Pathol. 1981;34: 1083–1090. doi:10.1136/jcp.34.10.1083</t>
  </si>
  <si>
    <t>Ince C, Thio B, van Duijn B, van Dissel JT, Ypey DL, Leijh PCJ. Intracellular K+, Na+ and Cl- concentrations and membrane potential in human moncytes. Biochim Biophys Acta. 1987;905: 195–204. doi:10.1016/0005-2736(87)90023-X</t>
  </si>
  <si>
    <t>Nibbering PH, Zomerdijk TPL, Corsèl-Van Tilburg AJ, Van Furth R. Mean cell volume of human blood leucocytes and resident and activated murine macrophages. J Immunol Methods. 1990;129: 143–145. doi:10.1016/0022-1759(90)90432-U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</si>
</sst>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0.000"/>
    <numFmt numFmtId="166" formatCode="0.0"/>
    <numFmt numFmtId="168" formatCode="0.0%"/>
    <numFmt numFmtId="173" formatCode="0E+00"/>
    <numFmt numFmtId="176" formatCode="0.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1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9" fontId="0" fillId="0" borderId="0" xfId="0" applyNumberFormat="1"/>
    <xf numFmtId="0" fontId="3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horizontal="left" vertical="center" indent="3"/>
    </xf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Font="1" applyFill="1" applyBorder="1"/>
    <xf numFmtId="0" fontId="0" fillId="0" borderId="1" xfId="0" applyFont="1" applyBorder="1"/>
    <xf numFmtId="1" fontId="0" fillId="0" borderId="0" xfId="0" applyNumberFormat="1"/>
    <xf numFmtId="10" fontId="0" fillId="0" borderId="0" xfId="0" applyNumberFormat="1"/>
    <xf numFmtId="9" fontId="0" fillId="0" borderId="0" xfId="1" applyFont="1"/>
    <xf numFmtId="168" fontId="0" fillId="0" borderId="0" xfId="1" applyNumberFormat="1" applyFont="1"/>
    <xf numFmtId="0" fontId="6" fillId="0" borderId="0" xfId="0" applyFont="1"/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left" vertical="center" indent="3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73" fontId="0" fillId="3" borderId="1" xfId="0" applyNumberFormat="1" applyFont="1" applyFill="1" applyBorder="1"/>
    <xf numFmtId="11" fontId="0" fillId="3" borderId="1" xfId="0" applyNumberFormat="1" applyFont="1" applyFill="1" applyBorder="1"/>
    <xf numFmtId="173" fontId="0" fillId="0" borderId="1" xfId="0" applyNumberFormat="1" applyFont="1" applyBorder="1"/>
    <xf numFmtId="11" fontId="0" fillId="0" borderId="1" xfId="0" applyNumberFormat="1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 applyAlignment="1">
      <alignment wrapText="1"/>
    </xf>
    <xf numFmtId="0" fontId="5" fillId="2" borderId="3" xfId="0" applyFont="1" applyFill="1" applyBorder="1"/>
    <xf numFmtId="0" fontId="5" fillId="2" borderId="4" xfId="0" applyFont="1" applyFill="1" applyBorder="1"/>
    <xf numFmtId="0" fontId="0" fillId="3" borderId="5" xfId="0" applyFont="1" applyFill="1" applyBorder="1"/>
    <xf numFmtId="10" fontId="0" fillId="3" borderId="5" xfId="0" applyNumberFormat="1" applyFont="1" applyFill="1" applyBorder="1"/>
    <xf numFmtId="9" fontId="0" fillId="3" borderId="5" xfId="0" applyNumberFormat="1" applyFont="1" applyFill="1" applyBorder="1"/>
    <xf numFmtId="0" fontId="0" fillId="3" borderId="6" xfId="0" applyFont="1" applyFill="1" applyBorder="1"/>
    <xf numFmtId="0" fontId="0" fillId="0" borderId="1" xfId="0" applyNumberFormat="1" applyFont="1" applyBorder="1"/>
    <xf numFmtId="0" fontId="0" fillId="3" borderId="5" xfId="0" applyNumberFormat="1" applyFont="1" applyFill="1" applyBorder="1"/>
    <xf numFmtId="176" fontId="0" fillId="3" borderId="1" xfId="0" applyNumberFormat="1" applyFont="1" applyFill="1" applyBorder="1"/>
    <xf numFmtId="176" fontId="0" fillId="0" borderId="1" xfId="0" applyNumberFormat="1" applyFont="1" applyBorder="1"/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</cellXfs>
  <cellStyles count="2">
    <cellStyle name="Normal" xfId="0" builtinId="0"/>
    <cellStyle name="Percent" xfId="1" builtinId="5"/>
  </cellStyles>
  <dxfs count="28"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168" formatCode="0.0%"/>
    </dxf>
    <dxf>
      <numFmt numFmtId="2" formatCode="0.00"/>
    </dxf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6" totalsRowShown="0">
  <autoFilter ref="A1:I6"/>
  <tableColumns count="9">
    <tableColumn id="1" name="source" dataDxfId="27"/>
    <tableColumn id="2" name="mean [10^9 cells/liter]" dataDxfId="26"/>
    <tableColumn id="8" name="median [10^9 cells/liter]" dataDxfId="25"/>
    <tableColumn id="9" name="min reg range" dataDxfId="24"/>
    <tableColumn id="10" name="max reg range" dataDxfId="23"/>
    <tableColumn id="3" name="SD" dataDxfId="18">
      <calculatedColumnFormula>(Table2[[#This Row],[max reg range]]-Table2[[#This Row],[min reg range]])/(2*1.96)</calculatedColumnFormula>
    </tableColumn>
    <tableColumn id="4" name="n" dataDxfId="22" dataCellStyle="Percent"/>
    <tableColumn id="5" name="SEM" dataDxfId="21">
      <calculatedColumnFormula>Table2[[#This Row],[SD]]/SQRT(Table2[[#This Row],[n]])</calculatedColumnFormula>
    </tableColumn>
    <tableColumn id="6" name="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4" totalsRowShown="0" headerRowDxfId="14" headerRowBorderDxfId="16" tableBorderDxfId="17" totalsRowBorderDxfId="15">
  <autoFilter ref="A1:H4"/>
  <tableColumns count="8">
    <tableColumn id="1" name="parameter"/>
    <tableColumn id="2" name="value"/>
    <tableColumn id="3" name="units"/>
    <tableColumn id="4" name="SD"/>
    <tableColumn id="7" name="N"/>
    <tableColumn id="8" name="SEM" dataDxfId="13">
      <calculatedColumnFormula>Table4[[#This Row],[SD]]/SQRT(Table4[[#This Row],[N]])</calculatedColumnFormula>
    </tableColumn>
    <tableColumn id="5" name="source"/>
    <tableColumn id="6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7" displayName="Table17" ref="A1:F8" totalsRowShown="0">
  <autoFilter ref="A1:F8"/>
  <tableColumns count="6">
    <tableColumn id="1" name="sources:"/>
    <tableColumn id="2" name="mean [L]" dataDxfId="20"/>
    <tableColumn id="3" name="SD [L]"/>
    <tableColumn id="5" name="N"/>
    <tableColumn id="7" name="SEM [L]"/>
    <tableColumn id="6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4" totalsRowShown="0">
  <autoFilter ref="A1:E4"/>
  <tableColumns count="5">
    <tableColumn id="1" name="pool"/>
    <tableColumn id="2" name="mean %"/>
    <tableColumn id="3" name="SD"/>
    <tableColumn id="4" name="N"/>
    <tableColumn id="5" name="SEM" dataDxfId="19" dataCellStyle="Percent">
      <calculatedColumnFormula>Table3[[#This Row],[SD]]/SQRT(Table3[[#This Row],[N]])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5" totalsRowShown="0">
  <autoFilter ref="A1:I5"/>
  <tableColumns count="9">
    <tableColumn id="1" name="pool"/>
    <tableColumn id="2" name="organ"/>
    <tableColumn id="3" name="proliferation rate [1/d]"/>
    <tableColumn id="4" name="proliferation SEM [1/d]"/>
    <tableColumn id="5" name="mean lifespan [d]"/>
    <tableColumn id="6" name="SEM lifespan [d]"/>
    <tableColumn id="8" name="percentage transing"/>
    <tableColumn id="9" name="percentage transing SEM"/>
    <tableColumn id="7" name="comm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47" displayName="Table47" ref="A1:H6" totalsRowShown="0" headerRowDxfId="12" dataDxfId="0" headerRowBorderDxfId="10" tableBorderDxfId="11" totalsRowBorderDxfId="9">
  <autoFilter ref="A1:H6"/>
  <tableColumns count="8">
    <tableColumn id="1" name="parameter" dataDxfId="8"/>
    <tableColumn id="2" name="value" dataDxfId="7"/>
    <tableColumn id="3" name="units" dataDxfId="6"/>
    <tableColumn id="4" name="SD" dataDxfId="5"/>
    <tableColumn id="7" name="N" dataDxfId="4"/>
    <tableColumn id="8" name="SEM" dataDxfId="3">
      <calculatedColumnFormula>Table47[[#This Row],[SD]]/SQRT(Table47[[#This Row],[N]])</calculatedColumnFormula>
    </tableColumn>
    <tableColumn id="5" name="source" dataDxfId="2"/>
    <tableColumn id="6" name="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G32" sqref="G32"/>
    </sheetView>
  </sheetViews>
  <sheetFormatPr defaultRowHeight="15" x14ac:dyDescent="0.25"/>
  <cols>
    <col min="1" max="1" width="21.7109375" bestFit="1" customWidth="1"/>
    <col min="9" max="9" width="45.28515625" bestFit="1" customWidth="1"/>
  </cols>
  <sheetData>
    <row r="1" spans="1:18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2" t="s">
        <v>7</v>
      </c>
      <c r="H1" t="s">
        <v>8</v>
      </c>
      <c r="I1" t="s">
        <v>9</v>
      </c>
      <c r="N1" s="1"/>
      <c r="O1" s="1"/>
      <c r="P1" s="1"/>
      <c r="Q1" s="12" t="s">
        <v>2</v>
      </c>
      <c r="R1" s="1"/>
    </row>
    <row r="2" spans="1:18" x14ac:dyDescent="0.25">
      <c r="A2" s="5" t="s">
        <v>11</v>
      </c>
      <c r="B2" s="3"/>
      <c r="C2" s="3"/>
      <c r="D2" s="3">
        <v>0.2</v>
      </c>
      <c r="E2" s="3">
        <v>0.8</v>
      </c>
      <c r="F2" s="3">
        <f>(Table2[[#This Row],[max reg range]]-Table2[[#This Row],[min reg range]])/(2*1.96)</f>
        <v>0.15306122448979595</v>
      </c>
      <c r="G2" s="6">
        <v>250</v>
      </c>
      <c r="H2" s="8">
        <f>Table2[[#This Row],[SD]]/SQRT(Table2[[#This Row],[n]])</f>
        <v>9.6804418168419792E-3</v>
      </c>
      <c r="I2" t="s">
        <v>13</v>
      </c>
      <c r="K2">
        <f>AVERAGE(Table2[[#This Row],[min reg range]:[max reg range]])</f>
        <v>0.5</v>
      </c>
      <c r="N2" s="1"/>
      <c r="O2" s="1"/>
      <c r="P2" s="1"/>
      <c r="Q2" s="13">
        <v>1</v>
      </c>
      <c r="R2" s="5" t="s">
        <v>3</v>
      </c>
    </row>
    <row r="3" spans="1:18" x14ac:dyDescent="0.25">
      <c r="A3" s="5" t="s">
        <v>14</v>
      </c>
      <c r="B3" s="3"/>
      <c r="C3" s="3"/>
      <c r="D3" s="3">
        <v>0.28999999999999998</v>
      </c>
      <c r="E3" s="3">
        <v>0.95</v>
      </c>
      <c r="F3" s="3">
        <f>(Table2[[#This Row],[max reg range]]-Table2[[#This Row],[min reg range]])/(2*1.96)</f>
        <v>0.1683673469387755</v>
      </c>
      <c r="G3" s="6">
        <v>133</v>
      </c>
      <c r="H3" s="8">
        <f>Table2[[#This Row],[SD]]/SQRT(Table2[[#This Row],[n]])</f>
        <v>1.4599300507293855E-2</v>
      </c>
      <c r="I3" t="s">
        <v>15</v>
      </c>
      <c r="K3">
        <f>AVERAGE(Table2[[#This Row],[min reg range]:[max reg range]])</f>
        <v>0.62</v>
      </c>
      <c r="M3">
        <f>AVERAGE(K2:K6)</f>
        <v>0.54799999999999993</v>
      </c>
      <c r="N3" s="1"/>
      <c r="O3" s="1"/>
      <c r="P3" s="1"/>
      <c r="Q3" s="13">
        <v>2</v>
      </c>
      <c r="R3" s="5" t="s">
        <v>4</v>
      </c>
    </row>
    <row r="4" spans="1:18" x14ac:dyDescent="0.25">
      <c r="A4" s="5" t="s">
        <v>17</v>
      </c>
      <c r="B4" s="3"/>
      <c r="C4" s="3">
        <v>0.5</v>
      </c>
      <c r="D4" s="3">
        <v>0.2</v>
      </c>
      <c r="E4" s="3">
        <v>1.4</v>
      </c>
      <c r="F4" s="3">
        <f>(Table2[[#This Row],[max reg range]]-Table2[[#This Row],[min reg range]])/(2*1.96)</f>
        <v>0.30612244897959184</v>
      </c>
      <c r="G4" s="6">
        <v>316</v>
      </c>
      <c r="H4" s="8">
        <f>Table2[[#This Row],[SD]]/SQRT(Table2[[#This Row],[n]])</f>
        <v>1.7220733177439142E-2</v>
      </c>
      <c r="I4" t="s">
        <v>16</v>
      </c>
      <c r="K4">
        <v>0.5</v>
      </c>
      <c r="M4" s="9">
        <f>STDEV(K2:K5)/2</f>
        <v>6.1846584384265095E-2</v>
      </c>
      <c r="N4" s="1"/>
      <c r="O4" s="1"/>
      <c r="P4" s="1"/>
      <c r="Q4" s="13">
        <v>3</v>
      </c>
      <c r="R4" s="5" t="s">
        <v>6</v>
      </c>
    </row>
    <row r="5" spans="1:18" x14ac:dyDescent="0.25">
      <c r="A5" s="5" t="s">
        <v>12</v>
      </c>
      <c r="B5" s="4">
        <v>0.76</v>
      </c>
      <c r="C5" s="4">
        <v>0.74</v>
      </c>
      <c r="D5" s="3">
        <v>0.38</v>
      </c>
      <c r="E5" s="3">
        <v>1.1399999999999999</v>
      </c>
      <c r="F5" s="3">
        <f>(Table2[[#This Row],[max reg range]]-Table2[[#This Row],[min reg range]])/(2*1.96)</f>
        <v>0.19387755102040813</v>
      </c>
      <c r="G5" s="6">
        <f>430+430+516</f>
        <v>1376</v>
      </c>
      <c r="H5" s="8">
        <f>Table2[[#This Row],[SD]]/SQRT(Table2[[#This Row],[n]])</f>
        <v>5.2265884971054322E-3</v>
      </c>
      <c r="I5" t="s">
        <v>10</v>
      </c>
      <c r="K5">
        <f>AVERAGE(Table2[[#This Row],[min reg range]:[max reg range]])</f>
        <v>0.76</v>
      </c>
      <c r="M5">
        <f>SQRT(SUMSQ(M4,AVERAGE(Table2[SEM])))</f>
        <v>6.276513845182112E-2</v>
      </c>
      <c r="N5" s="1"/>
      <c r="O5" s="1"/>
      <c r="P5" s="1"/>
      <c r="Q5" s="13">
        <v>4</v>
      </c>
      <c r="R5" s="5" t="s">
        <v>5</v>
      </c>
    </row>
    <row r="6" spans="1:18" x14ac:dyDescent="0.25">
      <c r="A6" s="26" t="s">
        <v>43</v>
      </c>
      <c r="B6" s="27">
        <f>6.4%*5.7</f>
        <v>0.36480000000000001</v>
      </c>
      <c r="C6" s="27"/>
      <c r="D6" s="27"/>
      <c r="E6" s="27"/>
      <c r="F6" s="27">
        <f>SQRT(SUMSQ(1.6/6.4,1.4/5.7))*Table2[[#This Row],[mean '[10^9 cells/liter']]]</f>
        <v>0.12784991200622706</v>
      </c>
      <c r="G6" s="6">
        <v>357</v>
      </c>
      <c r="H6" s="8">
        <f>Table2[[#This Row],[SD]]/SQRT(Table2[[#This Row],[n]])</f>
        <v>6.7665348885348328E-3</v>
      </c>
      <c r="I6" t="s">
        <v>42</v>
      </c>
      <c r="K6">
        <v>0.36</v>
      </c>
      <c r="N6" s="1"/>
      <c r="O6" s="1"/>
      <c r="P6" s="1"/>
      <c r="Q6" s="25">
        <v>5</v>
      </c>
      <c r="R6" s="24" t="s">
        <v>41</v>
      </c>
    </row>
    <row r="10" spans="1:18" x14ac:dyDescent="0.25">
      <c r="K10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sqref="A1:H4"/>
    </sheetView>
  </sheetViews>
  <sheetFormatPr defaultRowHeight="15" x14ac:dyDescent="0.25"/>
  <cols>
    <col min="1" max="1" width="38.140625" customWidth="1"/>
    <col min="6" max="6" width="11" bestFit="1" customWidth="1"/>
    <col min="8" max="8" width="12.42578125" customWidth="1"/>
  </cols>
  <sheetData>
    <row r="1" spans="1:13" x14ac:dyDescent="0.25">
      <c r="A1" s="34" t="s">
        <v>44</v>
      </c>
      <c r="B1" s="34" t="s">
        <v>45</v>
      </c>
      <c r="C1" s="34" t="s">
        <v>46</v>
      </c>
      <c r="D1" s="34" t="s">
        <v>1</v>
      </c>
      <c r="E1" s="34" t="s">
        <v>29</v>
      </c>
      <c r="F1" s="34" t="s">
        <v>8</v>
      </c>
      <c r="G1" s="35" t="s">
        <v>0</v>
      </c>
      <c r="H1" s="34" t="s">
        <v>47</v>
      </c>
      <c r="M1" s="22" t="s">
        <v>54</v>
      </c>
    </row>
    <row r="2" spans="1:13" x14ac:dyDescent="0.25">
      <c r="A2" s="32" t="s">
        <v>49</v>
      </c>
      <c r="B2" s="28">
        <f>10.4*10^9</f>
        <v>10400000000</v>
      </c>
      <c r="C2" s="16" t="s">
        <v>50</v>
      </c>
      <c r="D2" s="29">
        <f>3.4*10^9</f>
        <v>3400000000</v>
      </c>
      <c r="E2" s="32">
        <v>10</v>
      </c>
      <c r="F2" s="42">
        <f>Table4[[#This Row],[SD]]/SQRT(Table4[[#This Row],[N]])</f>
        <v>1075174404.4572489</v>
      </c>
      <c r="G2" s="14" t="s">
        <v>51</v>
      </c>
      <c r="H2" s="16"/>
      <c r="M2" t="s">
        <v>53</v>
      </c>
    </row>
    <row r="3" spans="1:13" x14ac:dyDescent="0.25">
      <c r="A3" s="33" t="s">
        <v>55</v>
      </c>
      <c r="B3" s="30">
        <f>11.1*10^9</f>
        <v>11100000000</v>
      </c>
      <c r="C3" s="17" t="s">
        <v>50</v>
      </c>
      <c r="D3" s="31">
        <f>5.2*10^9</f>
        <v>5200000000</v>
      </c>
      <c r="E3" s="40">
        <v>10</v>
      </c>
      <c r="F3" s="43">
        <f>Table4[[#This Row],[SD]]/SQRT(Table4[[#This Row],[N]])</f>
        <v>1644384383.2875571</v>
      </c>
      <c r="G3" s="15" t="s">
        <v>51</v>
      </c>
      <c r="H3" s="17"/>
    </row>
    <row r="4" spans="1:13" x14ac:dyDescent="0.25">
      <c r="A4" s="36" t="s">
        <v>52</v>
      </c>
      <c r="B4" s="37">
        <v>3.0000000000000001E-3</v>
      </c>
      <c r="C4" s="36" t="s">
        <v>48</v>
      </c>
      <c r="D4" s="38"/>
      <c r="E4" s="38"/>
      <c r="F4" s="41"/>
      <c r="G4" s="39" t="s">
        <v>51</v>
      </c>
      <c r="H4" s="36"/>
    </row>
    <row r="5" spans="1:13" x14ac:dyDescent="0.25">
      <c r="H5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E8"/>
    </sheetView>
  </sheetViews>
  <sheetFormatPr defaultRowHeight="15" x14ac:dyDescent="0.25"/>
  <cols>
    <col min="1" max="1" width="19.140625" customWidth="1"/>
    <col min="2" max="2" width="17.42578125" customWidth="1"/>
    <col min="6" max="6" width="34.7109375" bestFit="1" customWidth="1"/>
  </cols>
  <sheetData>
    <row r="1" spans="1:6" x14ac:dyDescent="0.25">
      <c r="A1" t="s">
        <v>25</v>
      </c>
      <c r="B1" t="s">
        <v>27</v>
      </c>
      <c r="C1" t="s">
        <v>26</v>
      </c>
      <c r="D1" t="s">
        <v>29</v>
      </c>
      <c r="E1" t="s">
        <v>35</v>
      </c>
      <c r="F1" t="s">
        <v>28</v>
      </c>
    </row>
    <row r="2" spans="1:6" x14ac:dyDescent="0.25">
      <c r="A2" t="s">
        <v>24</v>
      </c>
      <c r="B2">
        <v>5.2</v>
      </c>
      <c r="C2">
        <v>0.26</v>
      </c>
      <c r="D2">
        <v>8</v>
      </c>
      <c r="E2" s="10">
        <f>Table17[[#This Row],[SD '[L']]]/SQRT(Table17[[#This Row],[N]])</f>
        <v>9.1923881554251172E-2</v>
      </c>
    </row>
    <row r="3" spans="1:6" x14ac:dyDescent="0.25">
      <c r="A3" t="s">
        <v>32</v>
      </c>
      <c r="B3" s="10">
        <v>4.8109999999999999</v>
      </c>
      <c r="C3" s="10">
        <v>0.54400000000000004</v>
      </c>
      <c r="D3">
        <v>38</v>
      </c>
      <c r="E3" s="10">
        <f>Table17[[#This Row],[SD '[L']]]/SQRT(Table17[[#This Row],[N]])</f>
        <v>8.8248453095134835E-2</v>
      </c>
      <c r="F3" t="s">
        <v>30</v>
      </c>
    </row>
    <row r="4" spans="1:6" x14ac:dyDescent="0.25">
      <c r="A4" t="s">
        <v>23</v>
      </c>
      <c r="B4" s="10">
        <v>4.9769999999999994</v>
      </c>
      <c r="C4" s="10">
        <v>0.61599999999999999</v>
      </c>
      <c r="D4">
        <v>38</v>
      </c>
      <c r="E4" s="10">
        <f>Table17[[#This Row],[SD '[L']]]/SQRT(Table17[[#This Row],[N]])</f>
        <v>9.9928395416549728E-2</v>
      </c>
      <c r="F4" t="s">
        <v>31</v>
      </c>
    </row>
    <row r="5" spans="1:6" x14ac:dyDescent="0.25">
      <c r="A5" t="s">
        <v>33</v>
      </c>
      <c r="B5" s="9">
        <v>4.8</v>
      </c>
      <c r="C5" s="9">
        <v>0.5</v>
      </c>
      <c r="D5">
        <v>38</v>
      </c>
      <c r="E5" s="10">
        <f>Table17[[#This Row],[SD '[L']]]/SQRT(Table17[[#This Row],[N]])</f>
        <v>8.1110710565381272E-2</v>
      </c>
      <c r="F5" t="s">
        <v>34</v>
      </c>
    </row>
    <row r="6" spans="1:6" x14ac:dyDescent="0.25">
      <c r="A6" t="s">
        <v>22</v>
      </c>
      <c r="B6" s="9">
        <v>4.8508000000000004</v>
      </c>
      <c r="E6">
        <v>0.4</v>
      </c>
      <c r="F6" t="s">
        <v>36</v>
      </c>
    </row>
    <row r="7" spans="1:6" x14ac:dyDescent="0.25">
      <c r="A7" t="s">
        <v>22</v>
      </c>
      <c r="B7" s="9">
        <v>4.6599797000000001</v>
      </c>
      <c r="E7">
        <v>0.4</v>
      </c>
      <c r="F7" t="s">
        <v>37</v>
      </c>
    </row>
    <row r="8" spans="1:6" x14ac:dyDescent="0.25">
      <c r="A8" t="s">
        <v>22</v>
      </c>
      <c r="B8" s="9">
        <v>5.25</v>
      </c>
      <c r="E8">
        <v>0.4</v>
      </c>
      <c r="F8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1" max="1" width="16" customWidth="1"/>
    <col min="2" max="2" width="10.140625" customWidth="1"/>
  </cols>
  <sheetData>
    <row r="1" spans="1:9" x14ac:dyDescent="0.25">
      <c r="A1" t="s">
        <v>59</v>
      </c>
      <c r="B1" t="s">
        <v>39</v>
      </c>
      <c r="C1" t="s">
        <v>1</v>
      </c>
      <c r="D1" t="s">
        <v>29</v>
      </c>
      <c r="E1" t="s">
        <v>8</v>
      </c>
      <c r="I1" s="22" t="s">
        <v>0</v>
      </c>
    </row>
    <row r="2" spans="1:9" x14ac:dyDescent="0.25">
      <c r="A2" t="s">
        <v>56</v>
      </c>
      <c r="B2" s="19">
        <v>0.84799999999999998</v>
      </c>
      <c r="C2" s="19">
        <v>5.6000000000000001E-2</v>
      </c>
      <c r="D2">
        <v>16</v>
      </c>
      <c r="E2" s="21">
        <f>Table3[[#This Row],[SD]]/SQRT(Table3[[#This Row],[N]])</f>
        <v>1.4E-2</v>
      </c>
      <c r="I2" t="s">
        <v>40</v>
      </c>
    </row>
    <row r="3" spans="1:9" x14ac:dyDescent="0.25">
      <c r="A3" t="s">
        <v>58</v>
      </c>
      <c r="B3" s="19">
        <v>5.3999999999999999E-2</v>
      </c>
      <c r="C3" s="19">
        <v>1.9E-2</v>
      </c>
      <c r="D3">
        <v>16</v>
      </c>
      <c r="E3" s="21">
        <f>Table3[[#This Row],[SD]]/SQRT(Table3[[#This Row],[N]])</f>
        <v>4.7499999999999999E-3</v>
      </c>
    </row>
    <row r="4" spans="1:9" x14ac:dyDescent="0.25">
      <c r="A4" t="s">
        <v>67</v>
      </c>
      <c r="B4" s="19">
        <v>9.1999999999999998E-2</v>
      </c>
      <c r="C4" s="19">
        <v>4.3999999999999997E-2</v>
      </c>
      <c r="D4">
        <v>16</v>
      </c>
      <c r="E4" s="21">
        <f>Table3[[#This Row],[SD]]/SQRT(Table3[[#This Row],[N]])</f>
        <v>1.0999999999999999E-2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" sqref="J1:N7"/>
    </sheetView>
  </sheetViews>
  <sheetFormatPr defaultRowHeight="15" x14ac:dyDescent="0.25"/>
  <cols>
    <col min="1" max="2" width="17.28515625" customWidth="1"/>
    <col min="3" max="5" width="11" customWidth="1"/>
  </cols>
  <sheetData>
    <row r="1" spans="1:16" x14ac:dyDescent="0.25">
      <c r="A1" t="s">
        <v>59</v>
      </c>
      <c r="B1" t="s">
        <v>60</v>
      </c>
      <c r="C1" t="s">
        <v>69</v>
      </c>
      <c r="D1" t="s">
        <v>68</v>
      </c>
      <c r="E1" t="s">
        <v>62</v>
      </c>
      <c r="F1" t="s">
        <v>63</v>
      </c>
      <c r="G1" t="s">
        <v>64</v>
      </c>
      <c r="H1" t="s">
        <v>65</v>
      </c>
      <c r="I1" t="s">
        <v>47</v>
      </c>
      <c r="P1" s="22" t="s">
        <v>0</v>
      </c>
    </row>
    <row r="2" spans="1:16" x14ac:dyDescent="0.25">
      <c r="A2" t="s">
        <v>61</v>
      </c>
      <c r="B2" t="s">
        <v>61</v>
      </c>
      <c r="C2">
        <v>0.42</v>
      </c>
      <c r="D2">
        <v>0.09</v>
      </c>
      <c r="I2" t="s">
        <v>70</v>
      </c>
      <c r="P2" t="s">
        <v>66</v>
      </c>
    </row>
    <row r="3" spans="1:16" x14ac:dyDescent="0.25">
      <c r="A3" t="s">
        <v>56</v>
      </c>
      <c r="B3" t="s">
        <v>57</v>
      </c>
      <c r="E3">
        <v>1</v>
      </c>
      <c r="F3">
        <v>0.26</v>
      </c>
      <c r="G3" s="19">
        <v>1.4E-2</v>
      </c>
      <c r="H3" s="19">
        <v>6.0000000000000001E-3</v>
      </c>
      <c r="L3" s="20"/>
    </row>
    <row r="4" spans="1:16" x14ac:dyDescent="0.25">
      <c r="A4" t="s">
        <v>58</v>
      </c>
      <c r="B4" t="s">
        <v>57</v>
      </c>
      <c r="E4">
        <v>4.3</v>
      </c>
      <c r="F4">
        <v>0.4</v>
      </c>
      <c r="G4" s="11">
        <v>1</v>
      </c>
      <c r="H4" s="11">
        <v>0</v>
      </c>
      <c r="L4" s="20"/>
    </row>
    <row r="5" spans="1:16" x14ac:dyDescent="0.25">
      <c r="A5" t="s">
        <v>67</v>
      </c>
      <c r="B5" t="s">
        <v>57</v>
      </c>
      <c r="E5">
        <v>7.4</v>
      </c>
      <c r="F5">
        <v>0.5</v>
      </c>
      <c r="L5" s="20"/>
    </row>
    <row r="13" spans="1:16" x14ac:dyDescent="0.25">
      <c r="F13" s="9"/>
    </row>
    <row r="14" spans="1:16" x14ac:dyDescent="0.25">
      <c r="F14" s="9"/>
    </row>
    <row r="15" spans="1:16" x14ac:dyDescent="0.25">
      <c r="F15" s="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K12" sqref="K12"/>
    </sheetView>
  </sheetViews>
  <sheetFormatPr defaultRowHeight="15" x14ac:dyDescent="0.25"/>
  <cols>
    <col min="1" max="1" width="17.28515625" bestFit="1" customWidth="1"/>
    <col min="7" max="7" width="18.5703125" bestFit="1" customWidth="1"/>
    <col min="8" max="8" width="12.5703125" bestFit="1" customWidth="1"/>
  </cols>
  <sheetData>
    <row r="1" spans="1:12" x14ac:dyDescent="0.25">
      <c r="A1" s="34" t="s">
        <v>44</v>
      </c>
      <c r="B1" s="34" t="s">
        <v>45</v>
      </c>
      <c r="C1" s="34" t="s">
        <v>46</v>
      </c>
      <c r="D1" s="34" t="s">
        <v>1</v>
      </c>
      <c r="E1" s="34" t="s">
        <v>29</v>
      </c>
      <c r="F1" s="34" t="s">
        <v>8</v>
      </c>
      <c r="G1" s="35" t="s">
        <v>0</v>
      </c>
      <c r="H1" s="34" t="s">
        <v>47</v>
      </c>
      <c r="L1" s="22" t="s">
        <v>2</v>
      </c>
    </row>
    <row r="2" spans="1:12" x14ac:dyDescent="0.25">
      <c r="A2" t="s">
        <v>74</v>
      </c>
      <c r="B2" s="9">
        <f>AVERAGE(1.077,1.07,1.068,1.067)</f>
        <v>1.0705</v>
      </c>
      <c r="C2" s="9" t="s">
        <v>75</v>
      </c>
      <c r="D2" s="8">
        <f>STDEV(1.077,1.07,1.068,1.067)</f>
        <v>4.5092497528228734E-3</v>
      </c>
      <c r="E2">
        <v>4</v>
      </c>
      <c r="F2" s="8">
        <f>Table47[[#This Row],[SD]]/SQRT(Table47[[#This Row],[N]])</f>
        <v>2.2546248764114367E-3</v>
      </c>
      <c r="G2" t="s">
        <v>71</v>
      </c>
      <c r="L2" s="24" t="s">
        <v>79</v>
      </c>
    </row>
    <row r="3" spans="1:12" ht="15.75" customHeight="1" x14ac:dyDescent="0.25">
      <c r="A3" t="s">
        <v>72</v>
      </c>
      <c r="B3">
        <v>534</v>
      </c>
      <c r="C3" t="s">
        <v>73</v>
      </c>
      <c r="D3">
        <v>47</v>
      </c>
      <c r="E3">
        <v>26</v>
      </c>
      <c r="F3" s="18">
        <f>Table47[[#This Row],[SD]]/SQRT(Table47[[#This Row],[N]])</f>
        <v>9.2174583514946509</v>
      </c>
      <c r="G3" t="s">
        <v>71</v>
      </c>
      <c r="L3" s="24" t="s">
        <v>80</v>
      </c>
    </row>
    <row r="4" spans="1:12" x14ac:dyDescent="0.25">
      <c r="A4" t="s">
        <v>72</v>
      </c>
      <c r="B4">
        <v>421</v>
      </c>
      <c r="C4" t="s">
        <v>73</v>
      </c>
      <c r="D4">
        <v>24</v>
      </c>
      <c r="E4">
        <v>8</v>
      </c>
      <c r="F4" s="18">
        <f>Table47[[#This Row],[SD]]/SQRT(Table47[[#This Row],[N]])</f>
        <v>8.4852813742385695</v>
      </c>
      <c r="G4" t="s">
        <v>76</v>
      </c>
      <c r="L4" s="24" t="s">
        <v>81</v>
      </c>
    </row>
    <row r="5" spans="1:12" x14ac:dyDescent="0.25">
      <c r="A5" t="s">
        <v>72</v>
      </c>
      <c r="B5" s="44">
        <v>413</v>
      </c>
      <c r="C5" t="s">
        <v>73</v>
      </c>
      <c r="D5" s="44">
        <v>21</v>
      </c>
      <c r="E5" s="44">
        <v>20</v>
      </c>
      <c r="F5" s="18">
        <f>Table47[[#This Row],[SD]]/SQRT(Table47[[#This Row],[N]])</f>
        <v>4.6957427527495579</v>
      </c>
      <c r="G5" s="44" t="s">
        <v>77</v>
      </c>
      <c r="H5" s="46"/>
      <c r="L5" s="24" t="s">
        <v>82</v>
      </c>
    </row>
    <row r="6" spans="1:12" x14ac:dyDescent="0.25">
      <c r="A6" t="s">
        <v>72</v>
      </c>
      <c r="B6" s="44">
        <v>346</v>
      </c>
      <c r="C6" t="s">
        <v>73</v>
      </c>
      <c r="D6" s="45">
        <f>Table47[[#This Row],[SEM]]*SQRT(Table47[[#This Row],[N]])</f>
        <v>5.1429563482495162</v>
      </c>
      <c r="E6" s="44">
        <v>5</v>
      </c>
      <c r="F6" s="45">
        <v>2.2999999999999998</v>
      </c>
      <c r="G6" s="44" t="s">
        <v>78</v>
      </c>
      <c r="H6" s="46"/>
      <c r="L6" s="23"/>
    </row>
    <row r="7" spans="1:12" x14ac:dyDescent="0.25">
      <c r="A7" s="44"/>
      <c r="B7" s="44"/>
      <c r="C7" s="44"/>
      <c r="D7" s="44"/>
      <c r="E7" s="44"/>
      <c r="F7" s="44"/>
      <c r="G7" s="44"/>
      <c r="H7" s="44"/>
      <c r="L7" s="23"/>
    </row>
    <row r="8" spans="1:12" x14ac:dyDescent="0.25">
      <c r="L8" s="23"/>
    </row>
    <row r="9" spans="1:12" x14ac:dyDescent="0.25">
      <c r="L9" s="23"/>
    </row>
    <row r="20" spans="5:5" x14ac:dyDescent="0.25">
      <c r="E2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Blood_concentration</vt:lpstr>
      <vt:lpstr>BM_population</vt:lpstr>
      <vt:lpstr>Blood_Volume</vt:lpstr>
      <vt:lpstr>Subpopulations</vt:lpstr>
      <vt:lpstr>Kinetics_model</vt:lpstr>
      <vt:lpstr>Volume_and_mass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2019-08-21T08:27:25Z</dcterms:modified>
</cp:coreProperties>
</file>