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Skin_properties" sheetId="1" r:id="rId1"/>
    <sheet name="Surface_density" sheetId="2" r:id="rId2"/>
    <sheet name="epidermal_turnoevr" sheetId="6" r:id="rId3"/>
    <sheet name="Cellular_mass" sheetId="4" r:id="rId4"/>
    <sheet name="dermal_fib_data" sheetId="7" r:id="rId5"/>
    <sheet name="Mitsui  and Schneider, 1976" sheetId="8" r:id="rId6"/>
    <sheet name="Bergstresser et al., 1978" sheetId="5" r:id="rId7"/>
  </sheets>
  <calcPr calcId="162913" calcMode="autoNoTable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7" l="1"/>
  <c r="B6" i="7"/>
  <c r="D5" i="7"/>
  <c r="B5" i="7"/>
  <c r="B3" i="7"/>
  <c r="F5" i="6"/>
  <c r="F3" i="6"/>
  <c r="F2" i="6"/>
  <c r="D5" i="6"/>
  <c r="F2" i="2"/>
  <c r="E2" i="2"/>
  <c r="E39" i="5"/>
  <c r="E41" i="5"/>
  <c r="E40" i="5"/>
  <c r="D40" i="5"/>
  <c r="C40" i="5"/>
  <c r="B40" i="5"/>
  <c r="D39" i="5"/>
  <c r="C39" i="5"/>
  <c r="B39" i="5"/>
  <c r="E33" i="5"/>
  <c r="E34" i="5"/>
  <c r="E35" i="5"/>
  <c r="E36" i="5"/>
  <c r="E37" i="5"/>
  <c r="E38" i="5"/>
  <c r="C8" i="4"/>
  <c r="B8" i="4"/>
  <c r="E27" i="5"/>
  <c r="E26" i="5"/>
  <c r="D26" i="5"/>
  <c r="C26" i="5"/>
  <c r="B26" i="5"/>
  <c r="B25" i="5"/>
  <c r="C25" i="5"/>
  <c r="D25" i="5"/>
  <c r="E19" i="5"/>
  <c r="E25" i="5"/>
  <c r="E20" i="5"/>
  <c r="E21" i="5"/>
  <c r="E22" i="5"/>
  <c r="E23" i="5"/>
  <c r="E24" i="5"/>
  <c r="C7" i="4"/>
  <c r="E12" i="5"/>
  <c r="B7" i="4"/>
  <c r="E11" i="5"/>
  <c r="D11" i="5"/>
  <c r="C11" i="5"/>
  <c r="B11" i="5"/>
  <c r="D10" i="5"/>
  <c r="C10" i="5"/>
  <c r="B10" i="5"/>
  <c r="E4" i="5"/>
  <c r="E10" i="5"/>
  <c r="E5" i="5"/>
  <c r="E6" i="5"/>
  <c r="E7" i="5"/>
  <c r="E8" i="5"/>
  <c r="E9" i="5"/>
  <c r="C3" i="4"/>
  <c r="G2" i="1"/>
  <c r="G3" i="1"/>
  <c r="G4" i="1"/>
  <c r="D6" i="2"/>
</calcChain>
</file>

<file path=xl/sharedStrings.xml><?xml version="1.0" encoding="utf-8"?>
<sst xmlns="http://schemas.openxmlformats.org/spreadsheetml/2006/main" count="146" uniqueCount="103">
  <si>
    <t>Site</t>
  </si>
  <si>
    <t>Head and trunk</t>
  </si>
  <si>
    <t>Upper arms and thighs</t>
  </si>
  <si>
    <r>
      <t>epidermis thickness (</t>
    </r>
    <r>
      <rPr>
        <sz val="11"/>
        <color theme="1"/>
        <rFont val="Calibri"/>
        <family val="2"/>
      </rPr>
      <t>µm)</t>
    </r>
  </si>
  <si>
    <r>
      <t>dermal thickness (</t>
    </r>
    <r>
      <rPr>
        <sz val="11"/>
        <color theme="1"/>
        <rFont val="Calibri"/>
        <family val="2"/>
      </rPr>
      <t>µm)</t>
    </r>
  </si>
  <si>
    <t>total surface area (m^2)</t>
  </si>
  <si>
    <t>mass density (g/cm^3)</t>
  </si>
  <si>
    <t>ICRP. Basic anatomical and physiological data for use in radiological protection: reference values. ICRP Publication 89 [Internet]. Annals of the ICRP. Pergamon; 2002. doi:10.1016/S0146-6453(03)00002-2</t>
  </si>
  <si>
    <t>source</t>
  </si>
  <si>
    <t>parameter</t>
  </si>
  <si>
    <t>units</t>
  </si>
  <si>
    <t>value</t>
  </si>
  <si>
    <t>SD</t>
  </si>
  <si>
    <t>cells</t>
  </si>
  <si>
    <t>Bauer et al., 2001</t>
  </si>
  <si>
    <t>Langerhans cells</t>
  </si>
  <si>
    <t>total nucelated cells</t>
  </si>
  <si>
    <t>keratinocytes</t>
  </si>
  <si>
    <t>% of nucleated cells</t>
  </si>
  <si>
    <t>melanocytes</t>
  </si>
  <si>
    <t>Quevedo et al., 1975</t>
  </si>
  <si>
    <t>corneocytes</t>
  </si>
  <si>
    <t>alive</t>
  </si>
  <si>
    <t>nucleated</t>
  </si>
  <si>
    <t xml:space="preserve">Hoath and Leahy, 2003 </t>
  </si>
  <si>
    <t>Quevedo WC, Fitzpatrick TB, Pathak MA, Jimbow K. Role of light in human skin color variation. Am J Phys Anthropol. 1975;43: 393–408. doi:10.1002/ajpa.1330430321</t>
  </si>
  <si>
    <t>Bergstresser PR, Taylor RJ. Epidermal ‘turnover time’—a new examination. Br J Dermatol. 1977;96: 503–506. doi:10.1111/j.1365-2133.1977.tb07152.x</t>
  </si>
  <si>
    <t>Bauer J, Bahmer FA, Wörl J, Neuhuber W, Schuler G, Fartasch M. A strikingly constant ratio exists between Langerhans cells and other epidermal cells in human skin. A stereologic study using the optical disector method and the confocal laser scanning microscope. J Invest Dermatol. 2001;116: 313–318. doi:10.1046/j.1523-1747.2001.01247.x</t>
  </si>
  <si>
    <t>Hoath SB, Leahy DG. The Organization of Human Epidermis: Functional Epidermal Units and Phi Proportionality. J Invest Dermatol. 2003;121: 1440–1446. doi:10.1046/j.1523-1747.2003.12606.x</t>
  </si>
  <si>
    <t>sources</t>
  </si>
  <si>
    <t>Snyder WS, Cook MJ, Nasset ES, Karhausen LR, Parry Howells G, Tipton IH. Report of the Task Group on Reference Man [Internet]. Annals of the ICRP/ICRP Publication. Pergamon Press: Oxford; 1975. doi:10.1016/S0074-2740(75)80015-8</t>
  </si>
  <si>
    <t>Forearams and lower legs</t>
  </si>
  <si>
    <t>total surface area (m^2) SD</t>
  </si>
  <si>
    <t>comment:</t>
  </si>
  <si>
    <t>standard errors weren't given in the sources but estimated based on the range described in their tables</t>
  </si>
  <si>
    <t>dermal thickness (µm) SD</t>
  </si>
  <si>
    <t>epidermis thickness (µm) SD</t>
  </si>
  <si>
    <t>potassium molar mass</t>
  </si>
  <si>
    <t>g/mol</t>
  </si>
  <si>
    <t>g</t>
  </si>
  <si>
    <t>Snyder et al., 1975</t>
  </si>
  <si>
    <t>cell mass/potassium conc.</t>
  </si>
  <si>
    <t>kg/(mmol/kg)</t>
  </si>
  <si>
    <t>Wang et al., 2004</t>
  </si>
  <si>
    <t>Whole skin potassium</t>
  </si>
  <si>
    <t>Epidermis potassium</t>
  </si>
  <si>
    <t>Dermis potassium</t>
  </si>
  <si>
    <t xml:space="preserve">comments </t>
  </si>
  <si>
    <t>uncertainty given for 80% range 1.2-3.1, by approximation of normal distribution it is 1.28*sigma</t>
  </si>
  <si>
    <t>Wang Z, St-Onge M-P, Lecumberri B, Pi-Sunyer FX, Heshka S, Wang J, et al. Body cell mass: model development and validation at the cellular level of body composition. Am J Physiol Endocrinol Metab. 2004;286: E123-8. doi:10.1152/ajpendo.00227.2003</t>
  </si>
  <si>
    <t>surface density cells/mm^2</t>
  </si>
  <si>
    <t>average</t>
  </si>
  <si>
    <t>Bergstresser PR, Pariser RJ, Taylor JR. Counting and sizing of epidermal cells in normal human skin. J Invest Dermatol. Elsevier Masson SAS; 1978;70: 280–284. doi:10.1111/1523-1747.ep12541516</t>
  </si>
  <si>
    <t>subject</t>
  </si>
  <si>
    <t>Volar Forearm</t>
  </si>
  <si>
    <t>Upper back</t>
  </si>
  <si>
    <t>Lateral thigh</t>
  </si>
  <si>
    <t>Mean</t>
  </si>
  <si>
    <t>Biopsy site</t>
  </si>
  <si>
    <r>
      <t>Mean nucleated epidermal cell volumes (</t>
    </r>
    <r>
      <rPr>
        <sz val="11"/>
        <color theme="1"/>
        <rFont val="Calibri"/>
        <family val="2"/>
      </rPr>
      <t>µm^3)</t>
    </r>
  </si>
  <si>
    <t>µm^3</t>
  </si>
  <si>
    <t>Bergstresser et al., 1978</t>
  </si>
  <si>
    <t>the data is given in the sheet named after the source</t>
  </si>
  <si>
    <t>corneocytes cell volume</t>
  </si>
  <si>
    <t>estimated based on the superficial nucleated cells volumes</t>
  </si>
  <si>
    <t>mean superficial nucleated epidermal cell volumes  (µm^3)</t>
  </si>
  <si>
    <t>nucleated cell volume</t>
  </si>
  <si>
    <t>Halprin, 1972</t>
  </si>
  <si>
    <t>description</t>
  </si>
  <si>
    <t>maximal</t>
  </si>
  <si>
    <t>minimal</t>
  </si>
  <si>
    <t>DNA synthesis (h)</t>
  </si>
  <si>
    <t>germinative cell layer (d)</t>
  </si>
  <si>
    <t>overlying viable epidermis (d)</t>
  </si>
  <si>
    <t>Weinstein et al., 1984</t>
  </si>
  <si>
    <t>Bergstresser  and Taylor, 1977</t>
  </si>
  <si>
    <t>stratum corneum (d)</t>
  </si>
  <si>
    <t>keratinocyte compartment</t>
  </si>
  <si>
    <t>Halprin KM. Epidermal “turnover time” - a re-eximation. Br J Dermatology. 1972;86: 14–19. doi:10.1016/0923-1811(94)90057-4</t>
  </si>
  <si>
    <t>Weinstein GD, McCullough JL, Ross P. Cell proliferation in normal epidermis. J Invest Dermatol. Elsevier Masson SAS; 1984;82: 623–628. doi:10.1111/1523-1747.ep12261462</t>
  </si>
  <si>
    <t>Ruchti C, Haller D, Nuber M, Cottier H. Regional differences in renewal rates of fibroblasts in young adult female mice. Cell Tissue Res. 1983;232: 625–36. doi:10.1007/BF00216434</t>
  </si>
  <si>
    <t>Ruchti et al., 1983</t>
  </si>
  <si>
    <t>comment</t>
  </si>
  <si>
    <t>from mouse abdominal dermis. Average over sites</t>
  </si>
  <si>
    <t>papillary fibroblast density/skin unit volume</t>
  </si>
  <si>
    <t>cells/cm^3</t>
  </si>
  <si>
    <t>mid dermis fibroblast density/skin unit volume</t>
  </si>
  <si>
    <r>
      <t xml:space="preserve">McGrath JA, Eady RAJ, Pope FM (2004) Anatomy and Organization of Human Skin. </t>
    </r>
    <r>
      <rPr>
        <i/>
        <sz val="11"/>
        <color theme="1"/>
        <rFont val="Calibri"/>
        <family val="2"/>
      </rPr>
      <t>Rook’s Textbook of Dermatology</t>
    </r>
    <r>
      <rPr>
        <sz val="11"/>
        <color theme="1"/>
        <rFont val="Calibri"/>
        <family val="2"/>
      </rPr>
      <t xml:space="preserve"> (Blackwell Publishing company), p 3.33. 7th Ed.</t>
    </r>
  </si>
  <si>
    <r>
      <t xml:space="preserve">Randolph RK, Simon M (1998) Dermal fibroblasts actively metabolize retinoic acid but not retinol. </t>
    </r>
    <r>
      <rPr>
        <i/>
        <sz val="11"/>
        <color theme="1"/>
        <rFont val="Calibri"/>
        <family val="2"/>
      </rPr>
      <t>J Invest Dermatol</t>
    </r>
    <r>
      <rPr>
        <sz val="11"/>
        <color theme="1"/>
        <rFont val="Calibri"/>
        <family val="2"/>
      </rPr>
      <t xml:space="preserve"> 111(3):478–84.</t>
    </r>
  </si>
  <si>
    <r>
      <t xml:space="preserve">Miller CC, et al. (2003) Validation of a morphometric method for evaluating fibroblast numbers in normal and pathologic tissues. </t>
    </r>
    <r>
      <rPr>
        <i/>
        <sz val="11"/>
        <color theme="1"/>
        <rFont val="Calibri"/>
        <family val="2"/>
      </rPr>
      <t>Exp Dermatol</t>
    </r>
    <r>
      <rPr>
        <sz val="11"/>
        <color theme="1"/>
        <rFont val="Calibri"/>
        <family val="2"/>
      </rPr>
      <t xml:space="preserve"> 12(8):403–411.</t>
    </r>
  </si>
  <si>
    <t>McGrath et al., 2004</t>
  </si>
  <si>
    <t>papillary dermis portion</t>
  </si>
  <si>
    <t>%</t>
  </si>
  <si>
    <t>Miller  et al., 2003</t>
  </si>
  <si>
    <t>Randolph and Simon, 1998</t>
  </si>
  <si>
    <t>d</t>
  </si>
  <si>
    <t>reticular dermis portion</t>
  </si>
  <si>
    <t>mouse dermal fibroblast lifespan</t>
  </si>
  <si>
    <t>Mitsui Y, Schneider EL. Relationship Between Cell Replication and Volume in. Mech Ageing Dev. 1976;5: 45–56</t>
  </si>
  <si>
    <t>Mitsui  and Schneider, 1976</t>
  </si>
  <si>
    <t>fibroblast volume</t>
  </si>
  <si>
    <t>fl</t>
  </si>
  <si>
    <t>modal cell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</si>
</sst>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0.0"/>
    <numFmt numFmtId="166" formatCode="0.000"/>
    <numFmt numFmtId="167" formatCode="0.0E+00"/>
    <numFmt numFmtId="168" formatCode="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164" fontId="0" fillId="0" borderId="0" xfId="1" applyNumberFormat="1" applyFont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  <xf numFmtId="165" fontId="0" fillId="0" borderId="0" xfId="0" applyNumberFormat="1"/>
    <xf numFmtId="1" fontId="0" fillId="0" borderId="0" xfId="0" applyNumberFormat="1"/>
    <xf numFmtId="1" fontId="0" fillId="3" borderId="1" xfId="0" applyNumberFormat="1" applyFont="1" applyFill="1" applyBorder="1"/>
    <xf numFmtId="1" fontId="0" fillId="0" borderId="1" xfId="0" applyNumberFormat="1" applyFont="1" applyBorder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3" fillId="0" borderId="0" xfId="0" applyNumberFormat="1" applyFont="1"/>
    <xf numFmtId="0" fontId="2" fillId="2" borderId="2" xfId="0" applyFont="1" applyFill="1" applyBorder="1"/>
    <xf numFmtId="0" fontId="0" fillId="0" borderId="3" xfId="0" applyFont="1" applyBorder="1"/>
    <xf numFmtId="1" fontId="0" fillId="0" borderId="3" xfId="0" applyNumberFormat="1" applyFont="1" applyBorder="1"/>
    <xf numFmtId="1" fontId="3" fillId="0" borderId="1" xfId="0" applyNumberFormat="1" applyFont="1" applyBorder="1"/>
    <xf numFmtId="165" fontId="0" fillId="0" borderId="3" xfId="0" applyNumberFormat="1" applyFont="1" applyBorder="1"/>
    <xf numFmtId="1" fontId="3" fillId="0" borderId="3" xfId="0" applyNumberFormat="1" applyFont="1" applyBorder="1"/>
    <xf numFmtId="1" fontId="3" fillId="3" borderId="1" xfId="0" applyNumberFormat="1" applyFont="1" applyFill="1" applyBorder="1"/>
    <xf numFmtId="1" fontId="4" fillId="0" borderId="0" xfId="0" applyNumberFormat="1" applyFont="1"/>
    <xf numFmtId="0" fontId="0" fillId="0" borderId="0" xfId="0" applyAlignment="1">
      <alignment horizontal="left"/>
    </xf>
    <xf numFmtId="168" fontId="0" fillId="0" borderId="0" xfId="0" applyNumberFormat="1"/>
    <xf numFmtId="168" fontId="0" fillId="0" borderId="0" xfId="0" quotePrefix="1" applyNumberFormat="1"/>
    <xf numFmtId="0" fontId="4" fillId="0" borderId="0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</font>
    </dxf>
    <dxf>
      <numFmt numFmtId="0" formatCode="General"/>
    </dxf>
    <dxf>
      <numFmt numFmtId="16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371475</xdr:colOff>
      <xdr:row>0</xdr:row>
      <xdr:rowOff>0</xdr:rowOff>
    </xdr:from>
    <xdr:to>
      <xdr:col>24</xdr:col>
      <xdr:colOff>513418</xdr:colOff>
      <xdr:row>27</xdr:row>
      <xdr:rowOff>151738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0"/>
          <a:ext cx="7457143" cy="52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428625</xdr:colOff>
      <xdr:row>3</xdr:row>
      <xdr:rowOff>38100</xdr:rowOff>
    </xdr:from>
    <xdr:to>
      <xdr:col>21</xdr:col>
      <xdr:colOff>399139</xdr:colOff>
      <xdr:row>20</xdr:row>
      <xdr:rowOff>171029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609600"/>
          <a:ext cx="7285714" cy="337142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4">
  <autoFilter ref="A1:H4"/>
  <tableColumns count="8">
    <tableColumn id="1" name="Site"/>
    <tableColumn id="2" name="epidermis thickness (µm)"/>
    <tableColumn id="7" name="epidermis thickness (µm) SD"/>
    <tableColumn id="3" name="dermal thickness (µm)"/>
    <tableColumn id="8" name="dermal thickness (µm) SD"/>
    <tableColumn id="4" name="total surface area (m^2)"/>
    <tableColumn id="9" name="total surface area (m^2) SD" dataDxfId="35">
      <calculatedColumnFormula>Table1[[#This Row],[total surface area (m^2)]]*5%</calculatedColumnFormula>
    </tableColumn>
    <tableColumn id="5" name="mass density (g/cm^3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7" displayName="Table7" ref="A1:G7" totalsRowShown="0">
  <autoFilter ref="A1:G7"/>
  <tableColumns count="7">
    <tableColumn id="1" name="cells"/>
    <tableColumn id="8" name="alive"/>
    <tableColumn id="7" name="nucleated"/>
    <tableColumn id="6" name="% of nucleated cells" dataDxfId="34"/>
    <tableColumn id="2" name="surface density cells/mm^2"/>
    <tableColumn id="3" name="SD"/>
    <tableColumn id="5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Table12" displayName="Table12" ref="A1:G5" totalsRowShown="0">
  <autoFilter ref="A1:G5"/>
  <tableColumns count="7">
    <tableColumn id="1" name="source"/>
    <tableColumn id="5" name="description"/>
    <tableColumn id="6" name="DNA synthesis (h)"/>
    <tableColumn id="2" name="germinative cell layer (d)"/>
    <tableColumn id="3" name="overlying viable epidermis (d)"/>
    <tableColumn id="9" name="keratinocyte compartment" dataDxfId="33"/>
    <tableColumn id="4" name="stratum corneum (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11" displayName="Table11" ref="A1:F8" totalsRowShown="0">
  <autoFilter ref="A1:F8"/>
  <tableColumns count="6">
    <tableColumn id="1" name="parameter"/>
    <tableColumn id="2" name="value"/>
    <tableColumn id="3" name="SD"/>
    <tableColumn id="5" name="units"/>
    <tableColumn id="4" name="sources"/>
    <tableColumn id="6" name="comments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F7" totalsRowShown="0">
  <autoFilter ref="A1:F7"/>
  <tableColumns count="6">
    <tableColumn id="1" name="parameter"/>
    <tableColumn id="2" name="value"/>
    <tableColumn id="6" name="units"/>
    <tableColumn id="3" name="SD"/>
    <tableColumn id="5" name="comment"/>
    <tableColumn id="4" name="sour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mits_schn" displayName="mits_schn" ref="A1:A18" totalsRowShown="0">
  <autoFilter ref="A1:A18"/>
  <tableColumns count="1">
    <tableColumn id="1" name="modal cell volum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Bergstresser1978" displayName="Bergstresser1978" ref="A3:E10" totalsRowCount="1">
  <autoFilter ref="A3:E9"/>
  <tableColumns count="5">
    <tableColumn id="1" name="subject" totalsRowLabel="average"/>
    <tableColumn id="2" name="Volar Forearm" totalsRowFunction="average" totalsRowDxfId="32"/>
    <tableColumn id="3" name="Upper back" totalsRowFunction="average" totalsRowDxfId="31"/>
    <tableColumn id="4" name="Lateral thigh" totalsRowFunction="average" totalsRowDxfId="30"/>
    <tableColumn id="5" name="Mean" totalsRowFunction="average" dataDxfId="29" totalsRowDxfId="28">
      <calculatedColumnFormula>AVERAGE(Bergstresser1978[[#This Row],[Volar Forearm]:[Lateral thigh]])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superficial_volume" displayName="superficial_volume" ref="A18:E25" totalsRowCount="1" headerRowDxfId="27" dataDxfId="25" headerRowBorderDxfId="26" tableBorderDxfId="24" totalsRowBorderDxfId="23">
  <autoFilter ref="A18:E24"/>
  <tableColumns count="5">
    <tableColumn id="1" name="subject" totalsRowLabel="average" dataDxfId="22"/>
    <tableColumn id="2" name="Volar Forearm" totalsRowFunction="average" dataDxfId="21" totalsRowDxfId="20"/>
    <tableColumn id="3" name="Upper back" totalsRowFunction="average" dataDxfId="19" totalsRowDxfId="18"/>
    <tableColumn id="4" name="Lateral thigh" totalsRowFunction="average" dataDxfId="17" totalsRowDxfId="16"/>
    <tableColumn id="5" name="Mean" totalsRowFunction="average" dataDxfId="15" totalsRowDxfId="14">
      <calculatedColumnFormula>AVERAGE(superficial_volume[[#This Row],[Volar Forearm]:[Lateral thigh]])</calculatedColumnFormula>
    </tableColumn>
  </tableColumns>
  <tableStyleInfo name="TableStyleMedium2" showFirstColumn="0" showLastColumn="1" showRowStripes="1" showColumnStripes="0"/>
</table>
</file>

<file path=xl/tables/table9.xml><?xml version="1.0" encoding="utf-8"?>
<table xmlns="http://schemas.openxmlformats.org/spreadsheetml/2006/main" id="9" name="num_nuc_cell" displayName="num_nuc_cell" ref="A32:E39" totalsRowCount="1" headerRowDxfId="13" dataDxfId="11" headerRowBorderDxfId="12" tableBorderDxfId="10" totalsRowBorderDxfId="9">
  <autoFilter ref="A32:E38"/>
  <tableColumns count="5">
    <tableColumn id="1" name="subject" totalsRowLabel="average" dataDxfId="8"/>
    <tableColumn id="2" name="Volar Forearm" totalsRowFunction="average" dataDxfId="7" totalsRowDxfId="6"/>
    <tableColumn id="3" name="Upper back" totalsRowFunction="average" dataDxfId="5" totalsRowDxfId="4"/>
    <tableColumn id="4" name="Lateral thigh" totalsRowFunction="average" dataDxfId="3" totalsRowDxfId="2"/>
    <tableColumn id="5" name="Mean" totalsRowFunction="custom" dataDxfId="1" totalsRowDxfId="0">
      <calculatedColumnFormula>AVERAGE(num_nuc_cell[[#This Row],[Volar Forearm]:[Lateral thigh]])</calculatedColumnFormula>
      <totalsRowFormula>AVERAGE(num_nuc_cell[[Volar Forearm]:[Lateral thigh]])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M4" sqref="M4"/>
    </sheetView>
  </sheetViews>
  <sheetFormatPr defaultRowHeight="15" x14ac:dyDescent="0.25"/>
  <cols>
    <col min="1" max="1" width="21" bestFit="1" customWidth="1"/>
    <col min="2" max="3" width="25.5703125" customWidth="1"/>
    <col min="4" max="5" width="22.85546875" customWidth="1"/>
  </cols>
  <sheetData>
    <row r="1" spans="1:14" x14ac:dyDescent="0.25">
      <c r="A1" t="s">
        <v>0</v>
      </c>
      <c r="B1" t="s">
        <v>3</v>
      </c>
      <c r="C1" t="s">
        <v>36</v>
      </c>
      <c r="D1" t="s">
        <v>4</v>
      </c>
      <c r="E1" t="s">
        <v>35</v>
      </c>
      <c r="F1" t="s">
        <v>5</v>
      </c>
      <c r="G1" t="s">
        <v>32</v>
      </c>
      <c r="H1" t="s">
        <v>6</v>
      </c>
      <c r="M1" s="5" t="s">
        <v>8</v>
      </c>
    </row>
    <row r="2" spans="1:14" x14ac:dyDescent="0.25">
      <c r="A2" t="s">
        <v>1</v>
      </c>
      <c r="B2">
        <v>45</v>
      </c>
      <c r="C2">
        <v>5</v>
      </c>
      <c r="D2">
        <v>2000</v>
      </c>
      <c r="E2">
        <v>300</v>
      </c>
      <c r="F2">
        <v>0.8</v>
      </c>
      <c r="G2" s="17">
        <f>Table1[[#This Row],[total surface area (m^2)]]*5%</f>
        <v>4.0000000000000008E-2</v>
      </c>
      <c r="H2">
        <v>1.1000000000000001</v>
      </c>
      <c r="M2" s="3" t="s">
        <v>7</v>
      </c>
    </row>
    <row r="3" spans="1:14" x14ac:dyDescent="0.25">
      <c r="A3" t="s">
        <v>2</v>
      </c>
      <c r="B3">
        <v>45</v>
      </c>
      <c r="C3">
        <v>10</v>
      </c>
      <c r="D3">
        <v>1200</v>
      </c>
      <c r="E3">
        <v>100</v>
      </c>
      <c r="F3">
        <v>0.55000000000000004</v>
      </c>
      <c r="G3" s="17">
        <f>Table1[[#This Row],[total surface area (m^2)]]*5%</f>
        <v>2.7500000000000004E-2</v>
      </c>
      <c r="H3">
        <v>1.1000000000000001</v>
      </c>
      <c r="M3" s="11" t="s">
        <v>30</v>
      </c>
    </row>
    <row r="4" spans="1:14" x14ac:dyDescent="0.25">
      <c r="A4" t="s">
        <v>31</v>
      </c>
      <c r="B4">
        <v>90</v>
      </c>
      <c r="C4">
        <v>30</v>
      </c>
      <c r="D4">
        <v>1200</v>
      </c>
      <c r="E4">
        <v>200</v>
      </c>
      <c r="F4">
        <v>0.55000000000000004</v>
      </c>
      <c r="G4" s="17">
        <f>Table1[[#This Row],[total surface area (m^2)]]*5%</f>
        <v>2.7500000000000004E-2</v>
      </c>
      <c r="H4">
        <v>1.1000000000000001</v>
      </c>
    </row>
    <row r="5" spans="1:14" x14ac:dyDescent="0.25">
      <c r="M5" t="s">
        <v>33</v>
      </c>
      <c r="N5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C16" sqref="C16"/>
    </sheetView>
  </sheetViews>
  <sheetFormatPr defaultRowHeight="15" x14ac:dyDescent="0.25"/>
  <cols>
    <col min="1" max="1" width="24.28515625" bestFit="1" customWidth="1"/>
    <col min="2" max="2" width="12.28515625" customWidth="1"/>
    <col min="3" max="3" width="10.5703125" customWidth="1"/>
    <col min="4" max="4" width="24.28515625" customWidth="1"/>
    <col min="7" max="7" width="19.28515625" bestFit="1" customWidth="1"/>
  </cols>
  <sheetData>
    <row r="1" spans="1:14" x14ac:dyDescent="0.25">
      <c r="A1" t="s">
        <v>13</v>
      </c>
      <c r="B1" t="s">
        <v>22</v>
      </c>
      <c r="C1" t="s">
        <v>23</v>
      </c>
      <c r="D1" t="s">
        <v>18</v>
      </c>
      <c r="E1" s="6" t="s">
        <v>50</v>
      </c>
      <c r="F1" t="s">
        <v>12</v>
      </c>
      <c r="G1" t="s">
        <v>8</v>
      </c>
      <c r="N1" s="5" t="s">
        <v>29</v>
      </c>
    </row>
    <row r="2" spans="1:14" x14ac:dyDescent="0.25">
      <c r="A2" t="s">
        <v>16</v>
      </c>
      <c r="B2">
        <v>1</v>
      </c>
      <c r="C2">
        <v>1</v>
      </c>
      <c r="D2" s="8">
        <v>1</v>
      </c>
      <c r="E2" s="27">
        <f>ROUND(num_nuc_cell[[#Totals],[Mean]],-1)*100</f>
        <v>48000</v>
      </c>
      <c r="F2">
        <f>ROUND(STDEV(num_nuc_cell[[Volar Forearm]:[Lateral thigh]]),-1)*100</f>
        <v>6000</v>
      </c>
      <c r="G2" t="s">
        <v>61</v>
      </c>
      <c r="N2" t="s">
        <v>52</v>
      </c>
    </row>
    <row r="3" spans="1:14" x14ac:dyDescent="0.25">
      <c r="A3" t="s">
        <v>16</v>
      </c>
      <c r="B3">
        <v>1</v>
      </c>
      <c r="C3">
        <v>1</v>
      </c>
      <c r="D3" s="8">
        <v>1</v>
      </c>
      <c r="E3">
        <v>75000</v>
      </c>
      <c r="F3">
        <v>19000</v>
      </c>
      <c r="G3" t="s">
        <v>14</v>
      </c>
      <c r="M3" s="10"/>
      <c r="N3" s="11" t="s">
        <v>25</v>
      </c>
    </row>
    <row r="4" spans="1:14" x14ac:dyDescent="0.25">
      <c r="A4" t="s">
        <v>15</v>
      </c>
      <c r="B4">
        <v>1</v>
      </c>
      <c r="C4">
        <v>1</v>
      </c>
      <c r="E4" s="6">
        <v>1400</v>
      </c>
      <c r="F4">
        <v>320</v>
      </c>
      <c r="G4" t="s">
        <v>14</v>
      </c>
      <c r="M4" s="10"/>
      <c r="N4" s="11" t="s">
        <v>27</v>
      </c>
    </row>
    <row r="5" spans="1:14" x14ac:dyDescent="0.25">
      <c r="A5" t="s">
        <v>17</v>
      </c>
      <c r="B5">
        <v>1</v>
      </c>
      <c r="C5">
        <v>1</v>
      </c>
      <c r="M5" s="10"/>
      <c r="N5" s="11" t="s">
        <v>28</v>
      </c>
    </row>
    <row r="6" spans="1:14" x14ac:dyDescent="0.25">
      <c r="A6" t="s">
        <v>19</v>
      </c>
      <c r="B6">
        <v>1</v>
      </c>
      <c r="C6">
        <v>1</v>
      </c>
      <c r="D6" s="7">
        <f>1/(1+36)</f>
        <v>2.7027027027027029E-2</v>
      </c>
      <c r="G6" t="s">
        <v>20</v>
      </c>
      <c r="M6" s="10"/>
    </row>
    <row r="7" spans="1:14" x14ac:dyDescent="0.25">
      <c r="A7" t="s">
        <v>21</v>
      </c>
      <c r="B7">
        <v>0</v>
      </c>
      <c r="C7">
        <v>0</v>
      </c>
      <c r="D7" s="9"/>
      <c r="E7">
        <v>18000</v>
      </c>
      <c r="G7" t="s">
        <v>24</v>
      </c>
    </row>
    <row r="35" spans="2:8" x14ac:dyDescent="0.25">
      <c r="B35" s="18"/>
    </row>
    <row r="36" spans="2:8" x14ac:dyDescent="0.25">
      <c r="B36" s="18"/>
    </row>
    <row r="37" spans="2:8" x14ac:dyDescent="0.25">
      <c r="B37" s="18"/>
    </row>
    <row r="38" spans="2:8" x14ac:dyDescent="0.25">
      <c r="B38" s="18"/>
      <c r="D38" s="9"/>
      <c r="F38" s="18"/>
      <c r="H38" s="18"/>
    </row>
    <row r="39" spans="2:8" x14ac:dyDescent="0.25">
      <c r="B39" s="18"/>
      <c r="D39" s="13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D28" sqref="D28"/>
    </sheetView>
  </sheetViews>
  <sheetFormatPr defaultRowHeight="15" x14ac:dyDescent="0.25"/>
  <cols>
    <col min="1" max="1" width="20.28515625" bestFit="1" customWidth="1"/>
    <col min="2" max="3" width="17.42578125" customWidth="1"/>
    <col min="4" max="4" width="22.28515625" customWidth="1"/>
    <col min="5" max="6" width="26.7109375" customWidth="1"/>
    <col min="7" max="7" width="18.5703125" customWidth="1"/>
    <col min="12" max="12" width="10.7109375" bestFit="1" customWidth="1"/>
  </cols>
  <sheetData>
    <row r="1" spans="1:13" x14ac:dyDescent="0.25">
      <c r="A1" t="s">
        <v>8</v>
      </c>
      <c r="B1" t="s">
        <v>68</v>
      </c>
      <c r="C1" t="s">
        <v>71</v>
      </c>
      <c r="D1" t="s">
        <v>72</v>
      </c>
      <c r="E1" t="s">
        <v>73</v>
      </c>
      <c r="F1" t="s">
        <v>77</v>
      </c>
      <c r="G1" t="s">
        <v>76</v>
      </c>
      <c r="L1" s="5" t="s">
        <v>8</v>
      </c>
    </row>
    <row r="2" spans="1:13" x14ac:dyDescent="0.25">
      <c r="A2" t="s">
        <v>67</v>
      </c>
      <c r="B2" t="s">
        <v>69</v>
      </c>
      <c r="C2">
        <v>16</v>
      </c>
      <c r="D2">
        <v>19</v>
      </c>
      <c r="E2">
        <v>42</v>
      </c>
      <c r="F2" s="4">
        <f>SUM(Table12[[#This Row],[germinative cell layer (d)]:[overlying viable epidermis (d)]])</f>
        <v>61</v>
      </c>
      <c r="G2">
        <v>14</v>
      </c>
      <c r="L2" t="s">
        <v>26</v>
      </c>
    </row>
    <row r="3" spans="1:13" x14ac:dyDescent="0.25">
      <c r="A3" t="s">
        <v>67</v>
      </c>
      <c r="B3" t="s">
        <v>70</v>
      </c>
      <c r="C3">
        <v>10</v>
      </c>
      <c r="D3">
        <v>12</v>
      </c>
      <c r="E3">
        <v>26</v>
      </c>
      <c r="F3" s="4">
        <f>SUM(Table12[[#This Row],[germinative cell layer (d)]:[overlying viable epidermis (d)]])</f>
        <v>38</v>
      </c>
      <c r="G3">
        <v>14</v>
      </c>
      <c r="L3" s="11" t="s">
        <v>78</v>
      </c>
      <c r="M3" s="28"/>
    </row>
    <row r="4" spans="1:13" x14ac:dyDescent="0.25">
      <c r="A4" t="s">
        <v>75</v>
      </c>
      <c r="F4" s="4">
        <v>31</v>
      </c>
      <c r="G4">
        <v>14</v>
      </c>
      <c r="L4" s="11" t="s">
        <v>79</v>
      </c>
    </row>
    <row r="5" spans="1:13" x14ac:dyDescent="0.25">
      <c r="A5" t="s">
        <v>74</v>
      </c>
      <c r="C5">
        <v>14</v>
      </c>
      <c r="D5" s="13">
        <f>311/24</f>
        <v>12.958333333333334</v>
      </c>
      <c r="E5">
        <v>12</v>
      </c>
      <c r="F5" s="19">
        <f>SUM(Table12[[#This Row],[germinative cell layer (d)]:[overlying viable epidermis (d)]])</f>
        <v>24.958333333333336</v>
      </c>
      <c r="G5">
        <v>14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4" sqref="I4"/>
    </sheetView>
  </sheetViews>
  <sheetFormatPr defaultRowHeight="15" x14ac:dyDescent="0.25"/>
  <cols>
    <col min="1" max="1" width="24.42578125" bestFit="1" customWidth="1"/>
    <col min="5" max="5" width="17.28515625" bestFit="1" customWidth="1"/>
    <col min="6" max="6" width="88" bestFit="1" customWidth="1"/>
  </cols>
  <sheetData>
    <row r="1" spans="1:12" x14ac:dyDescent="0.25">
      <c r="A1" t="s">
        <v>9</v>
      </c>
      <c r="B1" t="s">
        <v>11</v>
      </c>
      <c r="C1" t="s">
        <v>12</v>
      </c>
      <c r="D1" t="s">
        <v>10</v>
      </c>
      <c r="E1" t="s">
        <v>29</v>
      </c>
      <c r="F1" t="s">
        <v>47</v>
      </c>
      <c r="I1" s="5" t="s">
        <v>8</v>
      </c>
    </row>
    <row r="2" spans="1:12" x14ac:dyDescent="0.25">
      <c r="A2" t="s">
        <v>37</v>
      </c>
      <c r="B2">
        <v>39.1</v>
      </c>
      <c r="C2">
        <v>0</v>
      </c>
      <c r="D2" t="s">
        <v>38</v>
      </c>
      <c r="I2" s="11" t="s">
        <v>30</v>
      </c>
    </row>
    <row r="3" spans="1:12" x14ac:dyDescent="0.25">
      <c r="A3" t="s">
        <v>44</v>
      </c>
      <c r="B3">
        <v>2.2000000000000002</v>
      </c>
      <c r="C3" s="12">
        <f>(3.1-1.2)/(_xlfn.NORM.INV(0.9,0,1)-_xlfn.NORM.INV(0.1,0,1))</f>
        <v>0.74128893876876012</v>
      </c>
      <c r="D3" t="s">
        <v>39</v>
      </c>
      <c r="E3" t="s">
        <v>40</v>
      </c>
      <c r="F3" t="s">
        <v>48</v>
      </c>
      <c r="I3" t="s">
        <v>49</v>
      </c>
      <c r="L3" s="10"/>
    </row>
    <row r="4" spans="1:12" x14ac:dyDescent="0.25">
      <c r="A4" t="s">
        <v>45</v>
      </c>
      <c r="B4" s="6">
        <v>0.46</v>
      </c>
      <c r="D4" t="s">
        <v>39</v>
      </c>
      <c r="E4" t="s">
        <v>40</v>
      </c>
      <c r="I4" t="s">
        <v>52</v>
      </c>
    </row>
    <row r="5" spans="1:12" x14ac:dyDescent="0.25">
      <c r="A5" t="s">
        <v>46</v>
      </c>
      <c r="B5">
        <v>1.1000000000000001</v>
      </c>
      <c r="C5" s="16"/>
      <c r="D5" t="s">
        <v>39</v>
      </c>
      <c r="E5" t="s">
        <v>40</v>
      </c>
      <c r="J5" s="6"/>
    </row>
    <row r="6" spans="1:12" x14ac:dyDescent="0.25">
      <c r="A6" t="s">
        <v>41</v>
      </c>
      <c r="B6">
        <v>9.1999999999999998E-3</v>
      </c>
      <c r="C6">
        <v>1E-3</v>
      </c>
      <c r="D6" t="s">
        <v>42</v>
      </c>
      <c r="E6" t="s">
        <v>43</v>
      </c>
    </row>
    <row r="7" spans="1:12" x14ac:dyDescent="0.25">
      <c r="A7" t="s">
        <v>66</v>
      </c>
      <c r="B7" s="13">
        <f>ROUND(AVERAGE(Bergstresser1978[[Volar Forearm]:[Lateral thigh]]),-1)</f>
        <v>790</v>
      </c>
      <c r="C7" s="13">
        <f>ROUND(STDEV(Bergstresser1978[[Volar Forearm]:[Lateral thigh]])/SQRT(COUNT(Bergstresser1978[[Volar Forearm]:[Lateral thigh]])-1),-1)</f>
        <v>30</v>
      </c>
      <c r="D7" t="s">
        <v>60</v>
      </c>
      <c r="E7" t="s">
        <v>61</v>
      </c>
      <c r="F7" t="s">
        <v>62</v>
      </c>
      <c r="J7" s="6"/>
    </row>
    <row r="8" spans="1:12" x14ac:dyDescent="0.25">
      <c r="A8" t="s">
        <v>63</v>
      </c>
      <c r="B8" s="13">
        <f>ROUND(AVERAGE(superficial_volume[[Volar Forearm]:[Lateral thigh]]),-1)</f>
        <v>1170</v>
      </c>
      <c r="C8" s="13">
        <f>ROUND(STDEV(superficial_volume[[Volar Forearm]:[Lateral thigh]])/SQRT(COUNT(Bergstresser1978[[Volar Forearm]:[Lateral thigh]])-1),-1)</f>
        <v>60</v>
      </c>
      <c r="D8" t="s">
        <v>60</v>
      </c>
      <c r="E8" t="s">
        <v>61</v>
      </c>
      <c r="F8" t="s">
        <v>64</v>
      </c>
    </row>
    <row r="11" spans="1:12" x14ac:dyDescent="0.25">
      <c r="C11" s="22"/>
    </row>
    <row r="13" spans="1:12" x14ac:dyDescent="0.25">
      <c r="C13" s="16"/>
    </row>
    <row r="15" spans="1:12" x14ac:dyDescent="0.25">
      <c r="B15" s="12"/>
    </row>
    <row r="16" spans="1:12" x14ac:dyDescent="0.25">
      <c r="B16" s="12"/>
    </row>
    <row r="17" spans="2:2" x14ac:dyDescent="0.25">
      <c r="B17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L28" sqref="L28"/>
    </sheetView>
  </sheetViews>
  <sheetFormatPr defaultRowHeight="15" x14ac:dyDescent="0.25"/>
  <cols>
    <col min="1" max="1" width="41.42578125" customWidth="1"/>
    <col min="2" max="3" width="13.28515625" customWidth="1"/>
    <col min="4" max="4" width="15.28515625" customWidth="1"/>
    <col min="6" max="6" width="16.5703125" bestFit="1" customWidth="1"/>
  </cols>
  <sheetData>
    <row r="1" spans="1:13" x14ac:dyDescent="0.25">
      <c r="A1" t="s">
        <v>9</v>
      </c>
      <c r="B1" t="s">
        <v>11</v>
      </c>
      <c r="C1" t="s">
        <v>10</v>
      </c>
      <c r="D1" t="s">
        <v>12</v>
      </c>
      <c r="E1" t="s">
        <v>82</v>
      </c>
      <c r="F1" t="s">
        <v>8</v>
      </c>
      <c r="M1" s="5" t="s">
        <v>8</v>
      </c>
    </row>
    <row r="2" spans="1:13" x14ac:dyDescent="0.25">
      <c r="A2" t="s">
        <v>91</v>
      </c>
      <c r="B2" s="8">
        <v>0.1</v>
      </c>
      <c r="C2" s="8" t="s">
        <v>92</v>
      </c>
      <c r="D2" s="8">
        <v>0.05</v>
      </c>
      <c r="F2" s="31" t="s">
        <v>90</v>
      </c>
      <c r="M2" s="31" t="s">
        <v>87</v>
      </c>
    </row>
    <row r="3" spans="1:13" x14ac:dyDescent="0.25">
      <c r="A3" t="s">
        <v>96</v>
      </c>
      <c r="B3" s="8">
        <f>1-B2</f>
        <v>0.9</v>
      </c>
      <c r="C3" s="8" t="s">
        <v>92</v>
      </c>
      <c r="D3" s="8">
        <v>0.05</v>
      </c>
      <c r="F3" s="31" t="s">
        <v>90</v>
      </c>
      <c r="M3" s="31" t="s">
        <v>88</v>
      </c>
    </row>
    <row r="4" spans="1:13" ht="15.75" thickBot="1" x14ac:dyDescent="0.3">
      <c r="A4" t="s">
        <v>84</v>
      </c>
      <c r="B4" s="30">
        <v>100000000</v>
      </c>
      <c r="C4" t="s">
        <v>85</v>
      </c>
      <c r="F4" t="s">
        <v>94</v>
      </c>
      <c r="M4" s="32" t="s">
        <v>89</v>
      </c>
    </row>
    <row r="5" spans="1:13" x14ac:dyDescent="0.25">
      <c r="A5" t="s">
        <v>86</v>
      </c>
      <c r="B5" s="29">
        <f>AVERAGE(3067,3814)*1000</f>
        <v>3440500</v>
      </c>
      <c r="C5" t="s">
        <v>85</v>
      </c>
      <c r="D5" s="29">
        <f>700*1000</f>
        <v>700000</v>
      </c>
      <c r="F5" t="s">
        <v>93</v>
      </c>
      <c r="M5" t="s">
        <v>80</v>
      </c>
    </row>
    <row r="6" spans="1:13" x14ac:dyDescent="0.25">
      <c r="A6" t="s">
        <v>100</v>
      </c>
      <c r="B6" s="29">
        <f>AVERAGE(mits_schn[])</f>
        <v>2157.1764705882351</v>
      </c>
      <c r="C6" t="s">
        <v>101</v>
      </c>
      <c r="D6" s="29">
        <f>STDEV(mits_schn[])/SQRT(COUNT(mits_schn[]))</f>
        <v>175.67368720773931</v>
      </c>
      <c r="F6" t="s">
        <v>99</v>
      </c>
      <c r="M6" t="s">
        <v>98</v>
      </c>
    </row>
    <row r="7" spans="1:13" x14ac:dyDescent="0.25">
      <c r="A7" t="s">
        <v>97</v>
      </c>
      <c r="B7">
        <v>140</v>
      </c>
      <c r="C7" t="s">
        <v>95</v>
      </c>
      <c r="D7">
        <v>20</v>
      </c>
      <c r="E7" t="s">
        <v>83</v>
      </c>
      <c r="F7" t="s">
        <v>81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3" sqref="A13"/>
    </sheetView>
  </sheetViews>
  <sheetFormatPr defaultRowHeight="15" x14ac:dyDescent="0.25"/>
  <cols>
    <col min="1" max="1" width="19.42578125" customWidth="1"/>
  </cols>
  <sheetData>
    <row r="1" spans="1:1" x14ac:dyDescent="0.25">
      <c r="A1" t="s">
        <v>102</v>
      </c>
    </row>
    <row r="2" spans="1:1" x14ac:dyDescent="0.25">
      <c r="A2">
        <v>1860</v>
      </c>
    </row>
    <row r="3" spans="1:1" x14ac:dyDescent="0.25">
      <c r="A3">
        <v>1900</v>
      </c>
    </row>
    <row r="4" spans="1:1" x14ac:dyDescent="0.25">
      <c r="A4">
        <v>195</v>
      </c>
    </row>
    <row r="5" spans="1:1" x14ac:dyDescent="0.25">
      <c r="A5">
        <v>1900</v>
      </c>
    </row>
    <row r="6" spans="1:1" x14ac:dyDescent="0.25">
      <c r="A6">
        <v>1900</v>
      </c>
    </row>
    <row r="7" spans="1:1" x14ac:dyDescent="0.25">
      <c r="A7">
        <v>1900</v>
      </c>
    </row>
    <row r="8" spans="1:1" x14ac:dyDescent="0.25">
      <c r="A8">
        <v>2000</v>
      </c>
    </row>
    <row r="9" spans="1:1" x14ac:dyDescent="0.25">
      <c r="A9">
        <v>1950</v>
      </c>
    </row>
    <row r="10" spans="1:1" x14ac:dyDescent="0.25">
      <c r="A10">
        <v>2100</v>
      </c>
    </row>
    <row r="11" spans="1:1" x14ac:dyDescent="0.25">
      <c r="A11">
        <v>2140</v>
      </c>
    </row>
    <row r="12" spans="1:1" x14ac:dyDescent="0.25">
      <c r="A12">
        <v>2185</v>
      </c>
    </row>
    <row r="13" spans="1:1" x14ac:dyDescent="0.25">
      <c r="A13">
        <v>2300</v>
      </c>
    </row>
    <row r="14" spans="1:1" x14ac:dyDescent="0.25">
      <c r="A14">
        <v>2330</v>
      </c>
    </row>
    <row r="15" spans="1:1" x14ac:dyDescent="0.25">
      <c r="A15">
        <v>2500</v>
      </c>
    </row>
    <row r="16" spans="1:1" x14ac:dyDescent="0.25">
      <c r="A16">
        <v>2440</v>
      </c>
    </row>
    <row r="17" spans="1:1" x14ac:dyDescent="0.25">
      <c r="A17">
        <v>3350</v>
      </c>
    </row>
    <row r="18" spans="1:1" x14ac:dyDescent="0.25">
      <c r="A18">
        <v>3722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L1" sqref="L1"/>
    </sheetView>
  </sheetViews>
  <sheetFormatPr defaultRowHeight="15" x14ac:dyDescent="0.25"/>
  <cols>
    <col min="1" max="1" width="9.5703125" customWidth="1"/>
    <col min="2" max="2" width="15.7109375" customWidth="1"/>
    <col min="3" max="3" width="13.140625" customWidth="1"/>
    <col min="4" max="4" width="14.140625" customWidth="1"/>
  </cols>
  <sheetData>
    <row r="1" spans="1:12" x14ac:dyDescent="0.25">
      <c r="A1" t="s">
        <v>59</v>
      </c>
      <c r="L1" t="s">
        <v>52</v>
      </c>
    </row>
    <row r="2" spans="1:12" x14ac:dyDescent="0.25">
      <c r="B2" t="s">
        <v>58</v>
      </c>
    </row>
    <row r="3" spans="1:12" x14ac:dyDescent="0.25">
      <c r="A3" t="s">
        <v>53</v>
      </c>
      <c r="B3" t="s">
        <v>54</v>
      </c>
      <c r="C3" t="s">
        <v>55</v>
      </c>
      <c r="D3" t="s">
        <v>56</v>
      </c>
      <c r="E3" t="s">
        <v>57</v>
      </c>
    </row>
    <row r="4" spans="1:12" x14ac:dyDescent="0.25">
      <c r="A4">
        <v>1</v>
      </c>
      <c r="B4">
        <v>749</v>
      </c>
      <c r="C4">
        <v>768</v>
      </c>
      <c r="D4">
        <v>910</v>
      </c>
      <c r="E4" s="13">
        <f>AVERAGE(Bergstresser1978[[#This Row],[Volar Forearm]:[Lateral thigh]])</f>
        <v>809</v>
      </c>
    </row>
    <row r="5" spans="1:12" x14ac:dyDescent="0.25">
      <c r="A5">
        <v>2</v>
      </c>
      <c r="B5">
        <v>730</v>
      </c>
      <c r="C5">
        <v>719</v>
      </c>
      <c r="D5">
        <v>768</v>
      </c>
      <c r="E5" s="13">
        <f>AVERAGE(Bergstresser1978[[#This Row],[Volar Forearm]:[Lateral thigh]])</f>
        <v>739</v>
      </c>
    </row>
    <row r="6" spans="1:12" x14ac:dyDescent="0.25">
      <c r="A6">
        <v>3</v>
      </c>
      <c r="B6">
        <v>846</v>
      </c>
      <c r="C6">
        <v>721</v>
      </c>
      <c r="D6">
        <v>864</v>
      </c>
      <c r="E6" s="13">
        <f>AVERAGE(Bergstresser1978[[#This Row],[Volar Forearm]:[Lateral thigh]])</f>
        <v>810.33333333333337</v>
      </c>
    </row>
    <row r="7" spans="1:12" x14ac:dyDescent="0.25">
      <c r="A7">
        <v>4</v>
      </c>
      <c r="B7">
        <v>909</v>
      </c>
      <c r="C7">
        <v>872</v>
      </c>
      <c r="D7">
        <v>994</v>
      </c>
      <c r="E7" s="13">
        <f>AVERAGE(Bergstresser1978[[#This Row],[Volar Forearm]:[Lateral thigh]])</f>
        <v>925</v>
      </c>
    </row>
    <row r="8" spans="1:12" x14ac:dyDescent="0.25">
      <c r="A8">
        <v>5</v>
      </c>
      <c r="B8">
        <v>784</v>
      </c>
      <c r="C8">
        <v>663</v>
      </c>
      <c r="D8">
        <v>628</v>
      </c>
      <c r="E8" s="13">
        <f>AVERAGE(Bergstresser1978[[#This Row],[Volar Forearm]:[Lateral thigh]])</f>
        <v>691.66666666666663</v>
      </c>
    </row>
    <row r="9" spans="1:12" x14ac:dyDescent="0.25">
      <c r="A9">
        <v>6</v>
      </c>
      <c r="B9">
        <v>610</v>
      </c>
      <c r="C9">
        <v>874</v>
      </c>
      <c r="D9">
        <v>758</v>
      </c>
      <c r="E9" s="13">
        <f>AVERAGE(Bergstresser1978[[#This Row],[Volar Forearm]:[Lateral thigh]])</f>
        <v>747.33333333333337</v>
      </c>
    </row>
    <row r="10" spans="1:12" x14ac:dyDescent="0.25">
      <c r="A10" t="s">
        <v>51</v>
      </c>
      <c r="B10" s="13">
        <f>SUBTOTAL(101,Bergstresser1978[Volar Forearm])</f>
        <v>771.33333333333337</v>
      </c>
      <c r="C10" s="13">
        <f>SUBTOTAL(101,Bergstresser1978[Upper back])</f>
        <v>769.5</v>
      </c>
      <c r="D10" s="13">
        <f>SUBTOTAL(101,Bergstresser1978[Lateral thigh])</f>
        <v>820.33333333333337</v>
      </c>
      <c r="E10" s="13">
        <f>SUBTOTAL(101,Bergstresser1978[Mean])</f>
        <v>787.05555555555554</v>
      </c>
    </row>
    <row r="11" spans="1:12" x14ac:dyDescent="0.25">
      <c r="A11" s="4" t="s">
        <v>12</v>
      </c>
      <c r="B11" s="19">
        <f>STDEV(Bergstresser1978[Volar Forearm])</f>
        <v>102.88180921167113</v>
      </c>
      <c r="C11" s="19">
        <f>STDEV(Bergstresser1978[Upper back])</f>
        <v>86.802649729141336</v>
      </c>
      <c r="D11" s="19">
        <f>STDEV(Bergstresser1978[Lateral thigh])</f>
        <v>129.40118495078281</v>
      </c>
      <c r="E11" s="19">
        <f>STDEV(Bergstresser1978[[Volar Forearm]:[Lateral thigh]])</f>
        <v>104.12010724171446</v>
      </c>
    </row>
    <row r="12" spans="1:12" x14ac:dyDescent="0.25">
      <c r="E12" s="19">
        <f>STDEV(Bergstresser1978[[Volar Forearm]:[Lateral thigh]])/SQRT(COUNT(Bergstresser1978[[Volar Forearm]:[Lateral thigh]])-1)</f>
        <v>25.252835288719236</v>
      </c>
    </row>
    <row r="17" spans="1:5" x14ac:dyDescent="0.25">
      <c r="A17" t="s">
        <v>65</v>
      </c>
    </row>
    <row r="18" spans="1:5" x14ac:dyDescent="0.25">
      <c r="A18" s="20" t="s">
        <v>53</v>
      </c>
      <c r="B18" s="20" t="s">
        <v>54</v>
      </c>
      <c r="C18" s="20" t="s">
        <v>55</v>
      </c>
      <c r="D18" s="20" t="s">
        <v>56</v>
      </c>
      <c r="E18" s="20" t="s">
        <v>57</v>
      </c>
    </row>
    <row r="19" spans="1:5" x14ac:dyDescent="0.25">
      <c r="A19" s="1">
        <v>1</v>
      </c>
      <c r="B19" s="1">
        <v>1173</v>
      </c>
      <c r="C19" s="1">
        <v>1152</v>
      </c>
      <c r="D19" s="1">
        <v>1671</v>
      </c>
      <c r="E19" s="14">
        <f>AVERAGE(superficial_volume[[#This Row],[Volar Forearm]:[Lateral thigh]])</f>
        <v>1332</v>
      </c>
    </row>
    <row r="20" spans="1:5" x14ac:dyDescent="0.25">
      <c r="A20" s="2">
        <v>2</v>
      </c>
      <c r="B20" s="2">
        <v>1131</v>
      </c>
      <c r="C20" s="2">
        <v>1183</v>
      </c>
      <c r="D20" s="2">
        <v>1203</v>
      </c>
      <c r="E20" s="15">
        <f>AVERAGE(superficial_volume[[#This Row],[Volar Forearm]:[Lateral thigh]])</f>
        <v>1172.3333333333333</v>
      </c>
    </row>
    <row r="21" spans="1:5" x14ac:dyDescent="0.25">
      <c r="A21" s="1">
        <v>3</v>
      </c>
      <c r="B21" s="1">
        <v>1316</v>
      </c>
      <c r="C21" s="1">
        <v>1104</v>
      </c>
      <c r="D21" s="1">
        <v>1434</v>
      </c>
      <c r="E21" s="14">
        <f>AVERAGE(superficial_volume[[#This Row],[Volar Forearm]:[Lateral thigh]])</f>
        <v>1284.6666666666667</v>
      </c>
    </row>
    <row r="22" spans="1:5" x14ac:dyDescent="0.25">
      <c r="A22" s="2">
        <v>4</v>
      </c>
      <c r="B22" s="2">
        <v>942</v>
      </c>
      <c r="C22" s="2">
        <v>1266</v>
      </c>
      <c r="D22" s="2">
        <v>1547</v>
      </c>
      <c r="E22" s="15">
        <f>AVERAGE(superficial_volume[[#This Row],[Volar Forearm]:[Lateral thigh]])</f>
        <v>1251.6666666666667</v>
      </c>
    </row>
    <row r="23" spans="1:5" x14ac:dyDescent="0.25">
      <c r="A23" s="1">
        <v>5</v>
      </c>
      <c r="B23" s="1">
        <v>1206</v>
      </c>
      <c r="C23" s="1">
        <v>814</v>
      </c>
      <c r="D23" s="1">
        <v>918</v>
      </c>
      <c r="E23" s="14">
        <f>AVERAGE(superficial_volume[[#This Row],[Volar Forearm]:[Lateral thigh]])</f>
        <v>979.33333333333337</v>
      </c>
    </row>
    <row r="24" spans="1:5" x14ac:dyDescent="0.25">
      <c r="A24" s="21">
        <v>6</v>
      </c>
      <c r="B24" s="21">
        <v>557</v>
      </c>
      <c r="C24" s="21">
        <v>1275</v>
      </c>
      <c r="D24" s="21">
        <v>1138</v>
      </c>
      <c r="E24" s="22">
        <f>AVERAGE(superficial_volume[[#This Row],[Volar Forearm]:[Lateral thigh]])</f>
        <v>990</v>
      </c>
    </row>
    <row r="25" spans="1:5" x14ac:dyDescent="0.25">
      <c r="A25" t="s">
        <v>51</v>
      </c>
      <c r="B25" s="25">
        <f>SUBTOTAL(101,superficial_volume[Volar Forearm])</f>
        <v>1054.1666666666667</v>
      </c>
      <c r="C25" s="25">
        <f>SUBTOTAL(101,superficial_volume[Upper back])</f>
        <v>1132.3333333333333</v>
      </c>
      <c r="D25" s="25">
        <f>SUBTOTAL(101,superficial_volume[Lateral thigh])</f>
        <v>1318.5</v>
      </c>
      <c r="E25" s="25">
        <f>SUBTOTAL(101,superficial_volume[Mean])</f>
        <v>1168.3333333333333</v>
      </c>
    </row>
    <row r="26" spans="1:5" x14ac:dyDescent="0.25">
      <c r="A26" s="4" t="s">
        <v>12</v>
      </c>
      <c r="B26" s="19">
        <f>STDEV(superficial_volume[Volar Forearm])</f>
        <v>272.54021110042936</v>
      </c>
      <c r="C26" s="19">
        <f>STDEV(superficial_volume[Upper back])</f>
        <v>169.30052175544708</v>
      </c>
      <c r="D26" s="19">
        <f>STDEV(superficial_volume[Lateral thigh])</f>
        <v>281.47095764927508</v>
      </c>
      <c r="E26" s="19">
        <f>STDEV(superficial_volume[[Volar Forearm]:[Lateral thigh]])</f>
        <v>258.05995655364779</v>
      </c>
    </row>
    <row r="27" spans="1:5" x14ac:dyDescent="0.25">
      <c r="E27" s="16">
        <f>STDEV(superficial_volume[[Volar Forearm]:[Lateral thigh]])/SQRT(COUNT(superficial_volume[[Volar Forearm]:[Lateral thigh]])-1)</f>
        <v>62.5887328595879</v>
      </c>
    </row>
    <row r="32" spans="1:5" x14ac:dyDescent="0.25">
      <c r="A32" s="20" t="s">
        <v>53</v>
      </c>
      <c r="B32" s="20" t="s">
        <v>54</v>
      </c>
      <c r="C32" s="20" t="s">
        <v>55</v>
      </c>
      <c r="D32" s="20" t="s">
        <v>56</v>
      </c>
      <c r="E32" s="20" t="s">
        <v>57</v>
      </c>
    </row>
    <row r="33" spans="1:5" x14ac:dyDescent="0.25">
      <c r="A33" s="1">
        <v>1</v>
      </c>
      <c r="B33" s="1">
        <v>587</v>
      </c>
      <c r="C33" s="1">
        <v>562</v>
      </c>
      <c r="D33" s="1">
        <v>563</v>
      </c>
      <c r="E33" s="26">
        <f>AVERAGE(num_nuc_cell[[#This Row],[Volar Forearm]:[Lateral thigh]])</f>
        <v>570.66666666666663</v>
      </c>
    </row>
    <row r="34" spans="1:5" x14ac:dyDescent="0.25">
      <c r="A34" s="2">
        <v>2</v>
      </c>
      <c r="B34" s="2">
        <v>431</v>
      </c>
      <c r="C34" s="2">
        <v>492</v>
      </c>
      <c r="D34" s="2">
        <v>459</v>
      </c>
      <c r="E34" s="23">
        <f>AVERAGE(num_nuc_cell[[#This Row],[Volar Forearm]:[Lateral thigh]])</f>
        <v>460.66666666666669</v>
      </c>
    </row>
    <row r="35" spans="1:5" x14ac:dyDescent="0.25">
      <c r="A35" s="1">
        <v>3</v>
      </c>
      <c r="B35" s="1">
        <v>402</v>
      </c>
      <c r="C35" s="1">
        <v>406</v>
      </c>
      <c r="D35" s="1">
        <v>445</v>
      </c>
      <c r="E35" s="26">
        <f>AVERAGE(num_nuc_cell[[#This Row],[Volar Forearm]:[Lateral thigh]])</f>
        <v>417.66666666666669</v>
      </c>
    </row>
    <row r="36" spans="1:5" x14ac:dyDescent="0.25">
      <c r="A36" s="2">
        <v>4</v>
      </c>
      <c r="B36" s="2">
        <v>483</v>
      </c>
      <c r="C36" s="2">
        <v>544</v>
      </c>
      <c r="D36" s="2">
        <v>509</v>
      </c>
      <c r="E36" s="23">
        <f>AVERAGE(num_nuc_cell[[#This Row],[Volar Forearm]:[Lateral thigh]])</f>
        <v>512</v>
      </c>
    </row>
    <row r="37" spans="1:5" x14ac:dyDescent="0.25">
      <c r="A37" s="1">
        <v>5</v>
      </c>
      <c r="B37" s="1">
        <v>447</v>
      </c>
      <c r="C37" s="1">
        <v>403</v>
      </c>
      <c r="D37" s="1">
        <v>489</v>
      </c>
      <c r="E37" s="26">
        <f>AVERAGE(num_nuc_cell[[#This Row],[Volar Forearm]:[Lateral thigh]])</f>
        <v>446.33333333333331</v>
      </c>
    </row>
    <row r="38" spans="1:5" x14ac:dyDescent="0.25">
      <c r="A38" s="21">
        <v>6</v>
      </c>
      <c r="B38" s="21">
        <v>452</v>
      </c>
      <c r="C38" s="21">
        <v>488</v>
      </c>
      <c r="D38" s="21">
        <v>459</v>
      </c>
      <c r="E38" s="25">
        <f>AVERAGE(num_nuc_cell[[#This Row],[Volar Forearm]:[Lateral thigh]])</f>
        <v>466.33333333333331</v>
      </c>
    </row>
    <row r="39" spans="1:5" x14ac:dyDescent="0.25">
      <c r="A39" t="s">
        <v>51</v>
      </c>
      <c r="B39" s="21">
        <f>SUBTOTAL(101,num_nuc_cell[Volar Forearm])</f>
        <v>467</v>
      </c>
      <c r="C39" s="21">
        <f>SUBTOTAL(101,num_nuc_cell[Upper back])</f>
        <v>482.5</v>
      </c>
      <c r="D39" s="24">
        <f>SUBTOTAL(101,num_nuc_cell[Lateral thigh])</f>
        <v>487.33333333333331</v>
      </c>
      <c r="E39" s="25">
        <f>AVERAGE(num_nuc_cell[[Volar Forearm]:[Lateral thigh]])</f>
        <v>478.94444444444446</v>
      </c>
    </row>
    <row r="40" spans="1:5" x14ac:dyDescent="0.25">
      <c r="A40" s="4" t="s">
        <v>12</v>
      </c>
      <c r="B40">
        <f>STDEV(num_nuc_cell[Volar Forearm])</f>
        <v>64.501162780216603</v>
      </c>
      <c r="C40">
        <f>STDEV(num_nuc_cell[Upper back])</f>
        <v>66.92607862410587</v>
      </c>
      <c r="D40">
        <f>STDEV(num_nuc_cell[Lateral thigh])</f>
        <v>43.807153144967849</v>
      </c>
      <c r="E40">
        <f>STDEV(num_nuc_cell[[Volar Forearm]:[Lateral thigh]])</f>
        <v>56.436817584666933</v>
      </c>
    </row>
    <row r="41" spans="1:5" x14ac:dyDescent="0.25">
      <c r="E41">
        <f>E40/SQRT(COUNT(num_nuc_cell[[Volar Forearm]:[Lateral thigh]])-1)</f>
        <v>13.687938827958702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Skin_properties</vt:lpstr>
      <vt:lpstr>Surface_density</vt:lpstr>
      <vt:lpstr>epidermal_turnoevr</vt:lpstr>
      <vt:lpstr>Cellular_mass</vt:lpstr>
      <vt:lpstr>dermal_fib_data</vt:lpstr>
      <vt:lpstr>Mitsui  and Schneider, 1976</vt:lpstr>
      <vt:lpstr>Bergstresser et al., 1978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2019-07-25T13:27:40Z</dcterms:modified>
</cp:coreProperties>
</file>