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744" activeTab="5"/>
  </bookViews>
  <sheets>
    <sheet name="Cells_turnover" sheetId="7" r:id="rId1"/>
    <sheet name="nonNeuron_population" sheetId="5" r:id="rId2"/>
    <sheet name="Pakkenberg and Gundersen, 1997" sheetId="10" r:id="rId3"/>
    <sheet name="Neuron_and_nonN_populations" sheetId="4" r:id="rId4"/>
    <sheet name="age_neuN_Cortex" sheetId="8" r:id="rId5"/>
    <sheet name="Cellular_mass" sheetId="11" r:id="rId6"/>
    <sheet name="Hippocampus" sheetId="9" state="hidden" r:id="rId7"/>
    <sheet name="von Bartheld et al., 2016" sheetId="6" state="hidden" r:id="rId8"/>
    <sheet name="Azevedo et al., 2009" sheetId="2" state="hidden" r:id="rId9"/>
    <sheet name="Andrade-Morales et al., 2013" sheetId="3" state="hidden" r:id="rId10"/>
  </sheets>
  <definedNames>
    <definedName name="measure_year">age_neuN_Cortex!$I$3</definedName>
    <definedName name="this_year">age_neuN_Cortex!$I$3</definedName>
  </definedNames>
  <calcPr calcId="162913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1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F20" i="8"/>
  <c r="G20" i="8"/>
  <c r="F21" i="8"/>
  <c r="F22" i="8"/>
  <c r="F23" i="8"/>
  <c r="G21" i="8"/>
  <c r="G22" i="8"/>
  <c r="G23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L3" i="7"/>
  <c r="L4" i="7"/>
  <c r="L5" i="7"/>
  <c r="L6" i="7"/>
  <c r="L7" i="7"/>
  <c r="L8" i="7"/>
  <c r="L9" i="7"/>
  <c r="L10" i="7"/>
  <c r="L11" i="7"/>
  <c r="L12" i="7"/>
  <c r="L2" i="7"/>
  <c r="I2" i="5"/>
  <c r="I3" i="5"/>
  <c r="I4" i="5"/>
  <c r="G22" i="6"/>
  <c r="H2" i="5"/>
  <c r="F22" i="6"/>
  <c r="G2" i="5"/>
  <c r="G23" i="6"/>
  <c r="H3" i="5"/>
  <c r="F23" i="6"/>
  <c r="G3" i="5"/>
  <c r="G4" i="5"/>
  <c r="E22" i="6"/>
  <c r="D22" i="6"/>
  <c r="E2" i="5"/>
  <c r="E23" i="6"/>
  <c r="D23" i="6"/>
  <c r="E3" i="5"/>
  <c r="E4" i="5"/>
  <c r="C22" i="6"/>
  <c r="B22" i="6"/>
  <c r="C2" i="5"/>
  <c r="C23" i="6"/>
  <c r="B23" i="6"/>
  <c r="C3" i="5"/>
  <c r="C4" i="5"/>
  <c r="H4" i="5"/>
  <c r="F2" i="5"/>
  <c r="F3" i="5"/>
  <c r="F4" i="5"/>
  <c r="D2" i="5"/>
  <c r="D3" i="5"/>
  <c r="D4" i="5"/>
  <c r="B2" i="5"/>
  <c r="B3" i="5"/>
  <c r="B4" i="5"/>
  <c r="D4" i="9"/>
  <c r="G6" i="4"/>
  <c r="D9" i="9"/>
  <c r="I6" i="4"/>
  <c r="E16" i="2"/>
  <c r="E20" i="3"/>
  <c r="I7" i="4"/>
  <c r="D16" i="2"/>
  <c r="D20" i="3"/>
  <c r="G7" i="4"/>
  <c r="B4" i="9"/>
  <c r="C6" i="4"/>
  <c r="B16" i="2"/>
  <c r="B20" i="3"/>
  <c r="C7" i="4"/>
  <c r="D10" i="9"/>
  <c r="J6" i="4"/>
  <c r="E4" i="9"/>
  <c r="H6" i="4"/>
  <c r="C4" i="9"/>
  <c r="D6" i="4"/>
  <c r="B6" i="2"/>
  <c r="B13" i="2"/>
  <c r="B17" i="3"/>
  <c r="C2" i="4"/>
  <c r="B14" i="2"/>
  <c r="B18" i="3"/>
  <c r="C3" i="4"/>
  <c r="B15" i="2"/>
  <c r="C4" i="4"/>
  <c r="E6" i="4"/>
  <c r="F6" i="4"/>
  <c r="E5" i="4"/>
  <c r="F5" i="4"/>
  <c r="D2" i="4"/>
  <c r="F2" i="4"/>
  <c r="D3" i="4"/>
  <c r="F3" i="4"/>
  <c r="D4" i="4"/>
  <c r="F4" i="4"/>
  <c r="D7" i="4"/>
  <c r="F7" i="4"/>
  <c r="E2" i="4"/>
  <c r="E3" i="4"/>
  <c r="E4" i="4"/>
  <c r="E7" i="4"/>
  <c r="E6" i="2"/>
  <c r="E13" i="2"/>
  <c r="E17" i="3"/>
  <c r="J2" i="4"/>
  <c r="E14" i="2"/>
  <c r="E18" i="3"/>
  <c r="J3" i="4"/>
  <c r="E15" i="2"/>
  <c r="J4" i="4"/>
  <c r="J7" i="4"/>
  <c r="I4" i="4"/>
  <c r="I3" i="4"/>
  <c r="I2" i="4"/>
  <c r="D6" i="2"/>
  <c r="D13" i="2"/>
  <c r="D17" i="3"/>
  <c r="H2" i="4"/>
  <c r="D14" i="2"/>
  <c r="D18" i="3"/>
  <c r="H3" i="4"/>
  <c r="D15" i="2"/>
  <c r="H4" i="4"/>
  <c r="H7" i="4"/>
  <c r="G4" i="4"/>
  <c r="G3" i="4"/>
  <c r="G2" i="4"/>
  <c r="E17" i="2"/>
  <c r="D17" i="2"/>
  <c r="B17" i="2"/>
  <c r="C13" i="2"/>
  <c r="C14" i="2"/>
  <c r="C15" i="2"/>
  <c r="C16" i="2"/>
  <c r="C17" i="2"/>
  <c r="D21" i="3"/>
  <c r="B21" i="3"/>
  <c r="C17" i="3"/>
  <c r="C18" i="3"/>
  <c r="C19" i="3"/>
  <c r="C20" i="3"/>
  <c r="C21" i="3"/>
  <c r="E21" i="3"/>
  <c r="B9" i="3"/>
  <c r="C6" i="2"/>
  <c r="C5" i="2"/>
  <c r="C2" i="2"/>
  <c r="C3" i="2"/>
  <c r="C4" i="2"/>
  <c r="C7" i="2"/>
  <c r="E9" i="3"/>
  <c r="D9" i="3"/>
  <c r="C2" i="3"/>
  <c r="C3" i="3"/>
  <c r="C4" i="3"/>
  <c r="C5" i="3"/>
  <c r="C6" i="3"/>
  <c r="C7" i="3"/>
  <c r="C8" i="3"/>
  <c r="C9" i="3"/>
</calcChain>
</file>

<file path=xl/sharedStrings.xml><?xml version="1.0" encoding="utf-8"?>
<sst xmlns="http://schemas.openxmlformats.org/spreadsheetml/2006/main" count="401" uniqueCount="178">
  <si>
    <t>source</t>
  </si>
  <si>
    <t>comment</t>
  </si>
  <si>
    <t>Mass (g)</t>
  </si>
  <si>
    <t>% Total brain mass</t>
  </si>
  <si>
    <t>Absolute neuronal number (billion)</t>
  </si>
  <si>
    <t>Absolute non-neuronal number (billion)</t>
  </si>
  <si>
    <t xml:space="preserve"> Hippocampal Formation + Amygdala</t>
  </si>
  <si>
    <t>Frontal Lobe Gray Matter</t>
  </si>
  <si>
    <t>Frontal Lobe White Matter</t>
  </si>
  <si>
    <t>Other Lobes Gray Matter</t>
  </si>
  <si>
    <t>Other Lobes White Matter</t>
  </si>
  <si>
    <t>Remaining Brain Regions (Basal Nuclei + Diencephalon + Brainstem)</t>
  </si>
  <si>
    <t>Whole Brain</t>
  </si>
  <si>
    <t>Cerebellum</t>
  </si>
  <si>
    <t>brain part</t>
  </si>
  <si>
    <t>Total</t>
  </si>
  <si>
    <t>Andrade-Moraes CH, Oliveira-Pinto A V., Castro-Fonseca E, da Silva CG, Guimarães DM, Szczupak D, et al. Cell number changes in Alzheimer’s disease relate to dementia, not to plaques and tangles. Brain. 2013;136: 3738–3752. doi:10.1093/brain/awt273</t>
  </si>
  <si>
    <t>Column1</t>
  </si>
  <si>
    <t>1509</t>
  </si>
  <si>
    <t>cortical grey mattar (RH)</t>
  </si>
  <si>
    <t>cortical white mattar (RH)</t>
  </si>
  <si>
    <t>ROB</t>
  </si>
  <si>
    <t>rest of brain</t>
  </si>
  <si>
    <t>cortex (LH)</t>
  </si>
  <si>
    <t>86</t>
  </si>
  <si>
    <t>84.6</t>
  </si>
  <si>
    <t>Azevedo F a C, Carvalho LRB, Grinberg LT, Farfel JM, Ferretti REL, Leite REP, et al. Equal numbers of neuronal and nonneuronal cells make the human brain an isometrically scaled-up primate brain. J Comp Neurol. 2009;513: 532–41. doi:10.1002/cne.21974</t>
  </si>
  <si>
    <t>Delta mass(g)</t>
  </si>
  <si>
    <t>Delta % mass</t>
  </si>
  <si>
    <t>Delta neuronal number (billion)</t>
  </si>
  <si>
    <t>Delta non-neuronal number (billion)</t>
  </si>
  <si>
    <t>Cortex</t>
  </si>
  <si>
    <t>Caudatum</t>
  </si>
  <si>
    <t>Pallidum</t>
  </si>
  <si>
    <t>52-74%</t>
  </si>
  <si>
    <t>30-40%</t>
  </si>
  <si>
    <t>6-8%</t>
  </si>
  <si>
    <t>Thalamus</t>
  </si>
  <si>
    <t>regions</t>
  </si>
  <si>
    <t>Brownson</t>
  </si>
  <si>
    <t>GM</t>
  </si>
  <si>
    <t>Pope</t>
  </si>
  <si>
    <t>WM</t>
  </si>
  <si>
    <t>Schlote</t>
  </si>
  <si>
    <t>von Bartheld CS, Bahney J, Herculano-Houzel S. The search for true numbers of neurons and glial cells in the human brain: A review of 150 years of cell counting. J Comp Neurol. 2016;524: 3865–3895. doi:10.1002/cne.24040</t>
  </si>
  <si>
    <t>glial distribution</t>
  </si>
  <si>
    <t>Oligodendrocytes</t>
  </si>
  <si>
    <t>Astrocytes</t>
  </si>
  <si>
    <t>Microglia</t>
  </si>
  <si>
    <t>comments</t>
  </si>
  <si>
    <t>Autoes</t>
  </si>
  <si>
    <t>years</t>
  </si>
  <si>
    <t>Visual Cortex</t>
  </si>
  <si>
    <t>Nucleus ruber</t>
  </si>
  <si>
    <t>Subsantia nigra, pc</t>
  </si>
  <si>
    <t>Motor Cortex, layer V</t>
  </si>
  <si>
    <t>Krypsin-Exner</t>
  </si>
  <si>
    <t>Frontal Cortex GM</t>
  </si>
  <si>
    <t>Frontal Cortex WM</t>
  </si>
  <si>
    <t>Frontal Cortex</t>
  </si>
  <si>
    <t>Necortex</t>
  </si>
  <si>
    <t>Pelvig et al.</t>
  </si>
  <si>
    <t>Lyck et al.</t>
  </si>
  <si>
    <t>std olig.</t>
  </si>
  <si>
    <t>std Ast.</t>
  </si>
  <si>
    <t>std. Microg.</t>
  </si>
  <si>
    <t>summary glial cells distribution</t>
  </si>
  <si>
    <t xml:space="preserve">endothalial cells </t>
  </si>
  <si>
    <t>GM and others</t>
  </si>
  <si>
    <t>% of non-Neurons</t>
  </si>
  <si>
    <t>stdev</t>
  </si>
  <si>
    <t>endothelial cells</t>
  </si>
  <si>
    <t>std Microg.</t>
  </si>
  <si>
    <t>std end.</t>
  </si>
  <si>
    <t>type</t>
  </si>
  <si>
    <t>cells</t>
  </si>
  <si>
    <t>Bhardwaj et al., 2006</t>
  </si>
  <si>
    <t>Spalding et al., 2005</t>
  </si>
  <si>
    <t>Spalding et al., 2013</t>
  </si>
  <si>
    <t>Bergmann et al., 2012</t>
  </si>
  <si>
    <t>Ernst et al., 2014</t>
  </si>
  <si>
    <t>2POP model</t>
  </si>
  <si>
    <t>best fit by a complex model</t>
  </si>
  <si>
    <t>Reu et al., 2017</t>
  </si>
  <si>
    <t>[1]</t>
  </si>
  <si>
    <t>[2]</t>
  </si>
  <si>
    <t>#</t>
  </si>
  <si>
    <t>[3]</t>
  </si>
  <si>
    <t>[1],[2]</t>
  </si>
  <si>
    <t>Striatum</t>
  </si>
  <si>
    <t>GM+WM</t>
  </si>
  <si>
    <t>Simic et al., 1997</t>
  </si>
  <si>
    <t>numebr of neurons (millions)</t>
  </si>
  <si>
    <t>delta num (millions)</t>
  </si>
  <si>
    <t>volume delta (cm^3)</t>
  </si>
  <si>
    <t>volume (cm^3)</t>
  </si>
  <si>
    <t>source detailes</t>
  </si>
  <si>
    <t>Harding et al., 1997</t>
  </si>
  <si>
    <t>Harding A, Halliday GM, Kril JJ. Variation in hippocampal neuron number with age and brain volume. Cereb Cortex. 1998;8: 710–718. doi:10.1093/cercor/8.8.710</t>
  </si>
  <si>
    <t>Šimić G, Kostović I, Winblad B, Bogdanović N. Volume and number of neurons of the human hippocampal formation in normal aging and Alzheimer’s disease. J Comp Neurol. 1997;379: 482–494. doi:10.1002/(SICI)1096-9861(19970324)379:4&lt;482::AID-CNE2&gt;3.0.CO;2-Z</t>
  </si>
  <si>
    <t>Andrade-Moraes et al., 2013</t>
  </si>
  <si>
    <t>hippocampal formation and amygdala</t>
  </si>
  <si>
    <t>value</t>
  </si>
  <si>
    <t>SD</t>
  </si>
  <si>
    <t>neurons (billions)</t>
  </si>
  <si>
    <t>non-neurons (billions</t>
  </si>
  <si>
    <t>ratio</t>
  </si>
  <si>
    <t>Hippocampus</t>
  </si>
  <si>
    <t>[4]</t>
  </si>
  <si>
    <t>[5]</t>
  </si>
  <si>
    <t>[2],[4],[5]</t>
  </si>
  <si>
    <t>% population regenerated</t>
  </si>
  <si>
    <t>turnover rate % per y</t>
  </si>
  <si>
    <t>turover rate std</t>
  </si>
  <si>
    <t>model</t>
  </si>
  <si>
    <t>constant turnover</t>
  </si>
  <si>
    <t>no neurogensis - age as the age of the person</t>
  </si>
  <si>
    <t>Subcortical White Matter</t>
  </si>
  <si>
    <t>Olfactory bulb</t>
  </si>
  <si>
    <t>Neurons</t>
  </si>
  <si>
    <t>non-Neurons</t>
  </si>
  <si>
    <t>non-Neurons, non Oligodendrocytes</t>
  </si>
  <si>
    <t>std population regenerated</t>
  </si>
  <si>
    <t xml:space="preserve"> </t>
  </si>
  <si>
    <t>Yr of Birth</t>
  </si>
  <si>
    <t>PARIETAL</t>
  </si>
  <si>
    <t>TEMPORAL</t>
  </si>
  <si>
    <t>area</t>
  </si>
  <si>
    <t>Prefrontal</t>
  </si>
  <si>
    <t>Premotor</t>
  </si>
  <si>
    <t>patient#</t>
  </si>
  <si>
    <t>neuN formation</t>
  </si>
  <si>
    <t>soruce</t>
  </si>
  <si>
    <t>Bhardwaj et al., 2007</t>
  </si>
  <si>
    <t>Bhardwaj et al., 2008</t>
  </si>
  <si>
    <t>Bhardwaj et al., 2009</t>
  </si>
  <si>
    <t>Bhardwaj et al., 2010</t>
  </si>
  <si>
    <t>Bhardwaj et al., 2011</t>
  </si>
  <si>
    <t>Bhardwaj et al., 2012</t>
  </si>
  <si>
    <t>Bhardwaj et al., 2013</t>
  </si>
  <si>
    <t>Bhardwaj et al., 2014</t>
  </si>
  <si>
    <t>Bhardwaj et al., 2015</t>
  </si>
  <si>
    <t>Bhardwaj et al., 2016</t>
  </si>
  <si>
    <t>Bhardwaj et al., 2017</t>
  </si>
  <si>
    <t>Bhardwaj et al., 2018</t>
  </si>
  <si>
    <t>Bhardwaj et al., 2019</t>
  </si>
  <si>
    <t>Bhardwaj et al., 2020</t>
  </si>
  <si>
    <t>Bhardwaj et al., 2021</t>
  </si>
  <si>
    <t>Bhardwaj et al., 2022</t>
  </si>
  <si>
    <t>Bhardwaj et al., 2023</t>
  </si>
  <si>
    <t>year ofmeasurement</t>
  </si>
  <si>
    <t>Spalding KL, Bhardwaj RD, Buchholz BA, Druid H, Frisén J. Retrospective birth dating of cells in humans. Cell. 2005;122: 133–143. doi:10.1016/j.cell.2005.04.028</t>
  </si>
  <si>
    <t>Bhardwaj RD, Curtis MA, Spalding KL, Buchholz BA, Fink D, Bjork-Eriksson T, et al. Neocortical neurogenesis in humans is restricted to development. Proc Natl Acad Sci. 2006;103: 12564–12568. doi:10.1073/pnas.0605177103</t>
  </si>
  <si>
    <t>sources:</t>
  </si>
  <si>
    <t>neuron Negative cells</t>
  </si>
  <si>
    <t>neuN age [y]</t>
  </si>
  <si>
    <t>patient age [y]</t>
  </si>
  <si>
    <t>cortex neurons (billions)</t>
  </si>
  <si>
    <t>female</t>
  </si>
  <si>
    <t>male</t>
  </si>
  <si>
    <t>sex</t>
  </si>
  <si>
    <t>age</t>
  </si>
  <si>
    <t>parameter</t>
  </si>
  <si>
    <t>sources</t>
  </si>
  <si>
    <t>brain total potassium</t>
  </si>
  <si>
    <t>Snyder et al., 1975</t>
  </si>
  <si>
    <t>Wang et al., 2004</t>
  </si>
  <si>
    <t>Félétou, 2011</t>
  </si>
  <si>
    <t>potassium molar mass</t>
  </si>
  <si>
    <t>g/mol</t>
  </si>
  <si>
    <t>g</t>
  </si>
  <si>
    <t>kg</t>
  </si>
  <si>
    <t>kg/(mmol/kg)</t>
  </si>
  <si>
    <t>pg</t>
  </si>
  <si>
    <t>cell mass/potassium conc.</t>
  </si>
  <si>
    <t>endothelial cell mass</t>
  </si>
  <si>
    <t>brain mass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</si>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</sst>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"/>
    <numFmt numFmtId="167" formatCode="0.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Font="1" applyFill="1" applyBorder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9" fontId="0" fillId="0" borderId="2" xfId="0" applyNumberFormat="1" applyFont="1" applyBorder="1"/>
    <xf numFmtId="0" fontId="0" fillId="0" borderId="0" xfId="0" applyFont="1" applyFill="1"/>
    <xf numFmtId="0" fontId="5" fillId="0" borderId="0" xfId="0" applyFont="1" applyFill="1" applyAlignment="1">
      <alignment horizontal="center" vertical="center" wrapText="1"/>
    </xf>
    <xf numFmtId="9" fontId="5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9" fontId="8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4" xfId="0" applyFont="1" applyFill="1" applyBorder="1"/>
    <xf numFmtId="0" fontId="6" fillId="2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9" fontId="8" fillId="0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 vertical="center"/>
    </xf>
    <xf numFmtId="9" fontId="8" fillId="0" borderId="5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9" fontId="0" fillId="0" borderId="0" xfId="1" applyFont="1"/>
    <xf numFmtId="165" fontId="7" fillId="0" borderId="0" xfId="0" applyNumberFormat="1" applyFont="1" applyFill="1" applyAlignment="1">
      <alignment horizontal="center" vertical="center"/>
    </xf>
    <xf numFmtId="10" fontId="0" fillId="0" borderId="0" xfId="0" applyNumberFormat="1"/>
    <xf numFmtId="9" fontId="0" fillId="0" borderId="2" xfId="1" applyNumberFormat="1" applyFont="1" applyBorder="1"/>
    <xf numFmtId="9" fontId="3" fillId="0" borderId="0" xfId="1" applyFont="1"/>
    <xf numFmtId="9" fontId="0" fillId="3" borderId="2" xfId="0" applyNumberFormat="1" applyFont="1" applyFill="1" applyBorder="1"/>
    <xf numFmtId="0" fontId="2" fillId="2" borderId="6" xfId="0" applyFont="1" applyFill="1" applyBorder="1"/>
    <xf numFmtId="0" fontId="7" fillId="0" borderId="2" xfId="0" applyFont="1" applyFill="1" applyBorder="1" applyAlignment="1">
      <alignment horizontal="left" vertical="center"/>
    </xf>
    <xf numFmtId="2" fontId="0" fillId="0" borderId="0" xfId="0" applyNumberFormat="1"/>
    <xf numFmtId="166" fontId="8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4"/>
    </xf>
    <xf numFmtId="0" fontId="2" fillId="0" borderId="4" xfId="0" applyFont="1" applyFill="1" applyBorder="1"/>
    <xf numFmtId="9" fontId="0" fillId="0" borderId="2" xfId="0" applyNumberFormat="1" applyFont="1" applyFill="1" applyBorder="1"/>
    <xf numFmtId="9" fontId="0" fillId="0" borderId="0" xfId="0" applyNumberFormat="1" applyFill="1"/>
    <xf numFmtId="9" fontId="0" fillId="0" borderId="2" xfId="1" applyNumberFormat="1" applyFont="1" applyFill="1" applyBorder="1"/>
    <xf numFmtId="164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0" fontId="9" fillId="0" borderId="0" xfId="0" applyFont="1"/>
    <xf numFmtId="165" fontId="9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numFmt numFmtId="2" formatCode="0.00"/>
    </dxf>
    <dxf>
      <numFmt numFmtId="165" formatCode="0.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z val="10"/>
        <color auto="1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numFmt numFmtId="1" formatCode="0"/>
    </dxf>
    <dxf>
      <numFmt numFmtId="1" formatCode="0"/>
    </dxf>
    <dxf>
      <numFmt numFmtId="165" formatCode="0.0"/>
      <alignment horizontal="center" vertical="center" textRotation="0" indent="0" justifyLastLine="0" shrinkToFit="0" readingOrder="0"/>
    </dxf>
    <dxf>
      <numFmt numFmtId="165" formatCode="0.0"/>
      <alignment horizontal="center" vertical="center" textRotation="0" indent="0" justifyLastLine="0" shrinkToFit="0" readingOrder="0"/>
    </dxf>
    <dxf>
      <numFmt numFmtId="165" formatCode="0.0"/>
      <alignment horizontal="center" vertical="center" textRotation="0" indent="0" justifyLastLine="0" shrinkToFit="0" readingOrder="0"/>
    </dxf>
    <dxf>
      <numFmt numFmtId="165" formatCode="0.0"/>
      <alignment horizontal="center" vertical="center" textRotation="0" indent="0" justifyLastLine="0" shrinkToFit="0" readingOrder="0"/>
    </dxf>
    <dxf>
      <numFmt numFmtId="165" formatCode="0.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1933575</xdr:colOff>
      <xdr:row>8</xdr:row>
      <xdr:rowOff>38100</xdr:rowOff>
    </xdr:from>
    <xdr:to>
      <xdr:col>12</xdr:col>
      <xdr:colOff>47055</xdr:colOff>
      <xdr:row>25</xdr:row>
      <xdr:rowOff>47219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1371600"/>
          <a:ext cx="4561905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495301</xdr:colOff>
      <xdr:row>3</xdr:row>
      <xdr:rowOff>49697</xdr:rowOff>
    </xdr:from>
    <xdr:to>
      <xdr:col>12</xdr:col>
      <xdr:colOff>496786</xdr:colOff>
      <xdr:row>12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6127" y="1076740"/>
          <a:ext cx="3066050" cy="2120348"/>
        </a:xfrm>
        <a:prstGeom prst="rect">
          <a:avLst/>
        </a:prstGeom>
      </xdr:spPr>
    </xdr:pic>
    <xdr:clientData/>
  </xdr:twoCellAnchor>
  <xdr:twoCellAnchor editAs="oneCell">
    <xdr:from>
      <xdr:col>7</xdr:col>
      <xdr:colOff>376923</xdr:colOff>
      <xdr:row>14</xdr:row>
      <xdr:rowOff>21687</xdr:rowOff>
    </xdr:from>
    <xdr:to>
      <xdr:col>15</xdr:col>
      <xdr:colOff>82827</xdr:colOff>
      <xdr:row>28</xdr:row>
      <xdr:rowOff>43541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7749" y="3144230"/>
          <a:ext cx="4609208" cy="26888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1" name="Table1322" displayName="Table1322" ref="A1:I12" totalsRowShown="0">
  <autoFilter ref="A1:I12"/>
  <tableColumns count="9">
    <tableColumn id="1" name="brain part"/>
    <tableColumn id="2" name="cells"/>
    <tableColumn id="8" name="% population regenerated"/>
    <tableColumn id="5" name="std population regenerated"/>
    <tableColumn id="9" name="turnover rate % per y"/>
    <tableColumn id="7" name="turover rate std"/>
    <tableColumn id="4" name="source"/>
    <tableColumn id="6" name="model"/>
    <tableColumn id="10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glial_detailed9" displayName="glial_detailed9" ref="A3:F17" totalsRowShown="0">
  <autoFilter ref="A3:F17"/>
  <tableColumns count="6">
    <tableColumn id="1" name="Oligodendrocytes"/>
    <tableColumn id="2" name="Astrocytes"/>
    <tableColumn id="3" name="Microglia"/>
    <tableColumn id="4" name="comments"/>
    <tableColumn id="5" name="Autoes"/>
    <tableColumn id="6" name="year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glial_summ10" displayName="glial_summ10" ref="A21:G23" totalsRowShown="0" headerRowDxfId="69" headerRowBorderDxfId="68" tableBorderDxfId="67" totalsRowBorderDxfId="66">
  <autoFilter ref="A21:G23"/>
  <tableColumns count="7">
    <tableColumn id="7" name="regions"/>
    <tableColumn id="1" name="Oligodendrocytes"/>
    <tableColumn id="8" name="std olig." dataDxfId="65">
      <calculatedColumnFormula>STDEV($A$10,$A$11,$A$15,$A$13,$A$16)</calculatedColumnFormula>
    </tableColumn>
    <tableColumn id="2" name="Astrocytes"/>
    <tableColumn id="9" name="std Ast." dataDxfId="64">
      <calculatedColumnFormula>STDEV($B$10,$B$11,$B$15,$B$13,$B$16)</calculatedColumnFormula>
    </tableColumn>
    <tableColumn id="3" name="Microglia" dataDxfId="63">
      <calculatedColumnFormula>AVERAGE($C$10,$C$11,$C$15,$C$13,$C$16)</calculatedColumnFormula>
    </tableColumn>
    <tableColumn id="10" name="std. Microg." dataDxfId="62">
      <calculatedColumnFormula>STDEV($C$10,$C$11,$C$15,$C$13,$C$16)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glial_summ1011" displayName="glial_summ1011" ref="A29:C31" totalsRowShown="0" headerRowDxfId="61" headerRowBorderDxfId="60" tableBorderDxfId="59" totalsRowBorderDxfId="58">
  <autoFilter ref="A29:C31"/>
  <tableColumns count="3">
    <tableColumn id="7" name="regions"/>
    <tableColumn id="1" name="% of non-Neurons"/>
    <tableColumn id="11" name="stdev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Az_det" displayName="Az_det" ref="A1:E7" totalsRowCount="1" headerRowDxfId="57" dataDxfId="56" totalsRowDxfId="55" totalsRowBorderDxfId="54">
  <autoFilter ref="A1:E6"/>
  <tableColumns count="5">
    <tableColumn id="1" name="brain part" totalsRowLabel="Whole Brain" dataDxfId="53" totalsRowDxfId="52"/>
    <tableColumn id="2" name="Mass (g)" totalsRowLabel="1509" dataDxfId="51" totalsRowDxfId="50"/>
    <tableColumn id="3" name="% Total brain mass" totalsRowFunction="sum" dataDxfId="49" totalsRowDxfId="48">
      <calculatedColumnFormula>Az_det[[#This Row],[Mass (g)]]/Az_det[[#Totals],[Mass (g)]]</calculatedColumnFormula>
    </tableColumn>
    <tableColumn id="4" name="Absolute neuronal number (billion)" totalsRowLabel="86" dataDxfId="47" totalsRowDxfId="46"/>
    <tableColumn id="5" name="Absolute non-neuronal number (billion)" totalsRowLabel="84.6" dataDxfId="45" totalsRowDxfId="4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" name="Az_summ" displayName="Az_summ" ref="A12:E17" totalsRowCount="1" headerRowDxfId="43" dataDxfId="41" headerRowBorderDxfId="42" tableBorderDxfId="40" totalsRowBorderDxfId="39">
  <autoFilter ref="A12:E16"/>
  <tableColumns count="5">
    <tableColumn id="1" name="brain part" totalsRowLabel="Whole Brain" dataDxfId="38" totalsRowDxfId="37"/>
    <tableColumn id="2" name="Mass (g)" totalsRowFunction="sum" dataDxfId="36" totalsRowDxfId="35"/>
    <tableColumn id="3" name="% Total brain mass" totalsRowFunction="sum" dataDxfId="34" totalsRowDxfId="33" dataCellStyle="Percent">
      <calculatedColumnFormula>B13/Az_summ[[#Totals],[Mass (g)]]</calculatedColumnFormula>
    </tableColumn>
    <tableColumn id="4" name="Absolute neuronal number (billion)" totalsRowFunction="sum" dataDxfId="32" totalsRowDxfId="31"/>
    <tableColumn id="5" name="Absolute non-neuronal number (billion)" totalsRowFunction="sum" dataDxfId="30" totalsRow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AM_det" displayName="AM_det" ref="A1:E9" totalsRowCount="1" headerRowDxfId="28" dataDxfId="27" totalsRowDxfId="26" totalsRowBorderDxfId="25">
  <autoFilter ref="A1:E8"/>
  <tableColumns count="5">
    <tableColumn id="1" name="brain part" totalsRowLabel="Whole Brain" dataDxfId="24" totalsRowDxfId="23"/>
    <tableColumn id="2" name="Mass (g)" totalsRowFunction="sum" dataDxfId="22" totalsRowDxfId="21"/>
    <tableColumn id="3" name="% Total brain mass" totalsRowFunction="sum" dataDxfId="20" totalsRowDxfId="19" dataCellStyle="Percent">
      <calculatedColumnFormula>AM_det[[#This Row],[Mass (g)]]/AM_det[[#Totals],[Mass (g)]]</calculatedColumnFormula>
    </tableColumn>
    <tableColumn id="4" name="Absolute neuronal number (billion)" totalsRowFunction="sum" dataDxfId="18" totalsRowDxfId="17"/>
    <tableColumn id="5" name="Absolute non-neuronal number (billion)" totalsRowFunction="sum" dataDxfId="16" totalsRow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AM_summ" displayName="AM_summ" ref="A16:E21" totalsRowCount="1" headerRowDxfId="14" dataDxfId="12" headerRowBorderDxfId="13" tableBorderDxfId="11" totalsRowBorderDxfId="10">
  <autoFilter ref="A16:E20"/>
  <tableColumns count="5">
    <tableColumn id="1" name="brain part" totalsRowLabel="Whole Brain" dataDxfId="9" totalsRowDxfId="8"/>
    <tableColumn id="2" name="Mass (g)" totalsRowFunction="sum" dataDxfId="7" totalsRowDxfId="6"/>
    <tableColumn id="3" name="% Total brain mass" totalsRowFunction="sum" dataDxfId="5" totalsRowDxfId="4" dataCellStyle="Percent">
      <calculatedColumnFormula>B17/AM_summ[[#Totals],[Mass (g)]]</calculatedColumnFormula>
    </tableColumn>
    <tableColumn id="4" name="Absolute neuronal number (billion)" totalsRowFunction="sum" dataDxfId="3" totalsRowDxfId="2"/>
    <tableColumn id="5" name="Absolute non-neuronal number (billion)" totalsRowFunction="sum" dataDxfId="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nonNeu_summ" displayName="nonNeu_summ" ref="A1:I4" totalsRowShown="0" headerRowDxfId="83" dataDxfId="81" headerRowBorderDxfId="82" tableBorderDxfId="80" totalsRowBorderDxfId="79">
  <autoFilter ref="A1:I4"/>
  <tableColumns count="9">
    <tableColumn id="7" name="regions" dataDxfId="78"/>
    <tableColumn id="1" name="Oligodendrocytes" dataDxfId="77">
      <calculatedColumnFormula>'von Bartheld et al., 2016'!B22*(1-nonNeu_summ[[#This Row],[endothelial cells]])</calculatedColumnFormula>
    </tableColumn>
    <tableColumn id="8" name="std olig." dataDxfId="76">
      <calculatedColumnFormula>'von Bartheld et al., 2016'!C22*(1-nonNeu_summ[[#This Row],[endothelial cells]])+nonNeu_summ[[#This Row],[std end.]]*'von Bartheld et al., 2016'!B22</calculatedColumnFormula>
    </tableColumn>
    <tableColumn id="2" name="Astrocytes" dataDxfId="75">
      <calculatedColumnFormula>'von Bartheld et al., 2016'!D22*(1-nonNeu_summ[[#This Row],[endothelial cells]])</calculatedColumnFormula>
    </tableColumn>
    <tableColumn id="9" name="std Ast." dataDxfId="74">
      <calculatedColumnFormula>'von Bartheld et al., 2016'!E22*(1-nonNeu_summ[[#This Row],[endothelial cells]])+nonNeu_summ[[#This Row],[std end.]]*'von Bartheld et al., 2016'!D22</calculatedColumnFormula>
    </tableColumn>
    <tableColumn id="3" name="Microglia" dataDxfId="73">
      <calculatedColumnFormula>'von Bartheld et al., 2016'!F22*(1-nonNeu_summ[[#This Row],[endothelial cells]])</calculatedColumnFormula>
    </tableColumn>
    <tableColumn id="10" name="std Microg." dataDxfId="72">
      <calculatedColumnFormula>'von Bartheld et al., 2016'!G22*(1-nonNeu_summ[[#This Row],[endothelial cells]])+nonNeu_summ[[#This Row],[std end.]]*'von Bartheld et al., 2016'!F22</calculatedColumnFormula>
    </tableColumn>
    <tableColumn id="11" name="endothelial cells" dataDxfId="71">
      <calculatedColumnFormula>'von Bartheld et al., 2016'!B30</calculatedColumnFormula>
    </tableColumn>
    <tableColumn id="12" name="std end." dataDxfId="70">
      <calculatedColumnFormula>'von Bartheld et al., 2016'!C30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טבלה6" displayName="טבלה6" ref="A1:D95" totalsRowShown="0" headerRowDxfId="121" dataDxfId="120">
  <autoFilter ref="A1:D95"/>
  <tableColumns count="4">
    <tableColumn id="2" name="cortex neurons (billions)" dataDxfId="119"/>
    <tableColumn id="3" name="sex" dataDxfId="118"/>
    <tableColumn id="4" name="male" dataDxfId="117">
      <calculatedColumnFormula>1*(טבלה6[[#This Row],[sex]]=טבלה6[[#Headers],[male]])</calculatedColumnFormula>
    </tableColumn>
    <tableColumn id="5" name="age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summ" displayName="summ" ref="A1:K7" totalsRowShown="0" headerRowDxfId="113" dataDxfId="111" headerRowBorderDxfId="112" tableBorderDxfId="110" totalsRowBorderDxfId="109">
  <autoFilter ref="A1:K7"/>
  <tableColumns count="11">
    <tableColumn id="1" name="brain part" dataDxfId="108" totalsRowDxfId="107"/>
    <tableColumn id="10" name="type" dataDxfId="106" totalsRowDxfId="105"/>
    <tableColumn id="2" name="Mass (g)" dataDxfId="104" totalsRowDxfId="103"/>
    <tableColumn id="6" name="Delta mass(g)" dataDxfId="102" totalsRowDxfId="101">
      <calculatedColumnFormula>STDEV(INDEX(Az_summ[Mass (g)],MATCH(summ[[#This Row],[brain part]],Az_summ[brain part],0)),INDEX(AM_summ[Mass (g)],MATCH(summ[[#This Row],[brain part]],AM_summ[brain part],0)))</calculatedColumnFormula>
    </tableColumn>
    <tableColumn id="3" name="% Total brain mass" dataDxfId="100" totalsRowDxfId="99" dataCellStyle="Percent">
      <calculatedColumnFormula>C2/SUM(summ[Mass (g)])</calculatedColumnFormula>
    </tableColumn>
    <tableColumn id="7" name="Delta % mass" dataDxfId="98" totalsRowDxfId="97" dataCellStyle="Percent">
      <calculatedColumnFormula>summ[[#This Row],[Delta mass(g)]]/SUM(summ[Mass (g)])</calculatedColumnFormula>
    </tableColumn>
    <tableColumn id="4" name="Absolute neuronal number (billion)" dataDxfId="96" totalsRowDxfId="95"/>
    <tableColumn id="8" name="Delta neuronal number (billion)" dataDxfId="94" totalsRowDxfId="93">
      <calculatedColumnFormula>STDEV(INDEX(Az_summ[Absolute neuronal number (billion)],MATCH(summ[[#This Row],[brain part]],Az_summ[brain part],0)),INDEX(AM_summ[Absolute neuronal number (billion)],MATCH(summ[[#This Row],[brain part]],AM_summ[brain part],0)))</calculatedColumnFormula>
    </tableColumn>
    <tableColumn id="5" name="Absolute non-neuronal number (billion)" dataDxfId="92" totalsRowDxfId="91"/>
    <tableColumn id="9" name="Delta non-neuronal number (billion)" dataDxfId="90" totalsRowDxfId="89">
      <calculatedColumnFormula>STDEV(INDEX(Az_summ[Absolute non-neuronal number (billion)],MATCH(summ[[#This Row],[brain part]],Az_summ[brain part],0)),INDEX(AM_summ[Absolute non-neuronal number (billion)],MATCH(summ[[#This Row],[brain part]],AM_summ[brain part],0)))</calculatedColumnFormula>
    </tableColumn>
    <tableColumn id="11" name="source" dataDxfId="88" totalsRow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Table18" displayName="Table18" ref="N1:O6" totalsRowShown="0">
  <autoFilter ref="N1:O6"/>
  <tableColumns count="2">
    <tableColumn id="1" name="#"/>
    <tableColumn id="2" name="sour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Table22" displayName="Table22" ref="A1:G23" totalsRowShown="0">
  <autoFilter ref="A1:G23"/>
  <tableColumns count="7">
    <tableColumn id="7" name="soruce"/>
    <tableColumn id="1" name="area"/>
    <tableColumn id="2" name="patient#"/>
    <tableColumn id="3" name="Yr of Birth"/>
    <tableColumn id="4" name="neuN formation"/>
    <tableColumn id="5" name="patient age [y]" dataDxfId="115">
      <calculatedColumnFormula>this_year-Table22[[#This Row],[Yr of Birth]]</calculatedColumnFormula>
    </tableColumn>
    <tableColumn id="6" name="neuN age [y]" dataDxfId="114">
      <calculatedColumnFormula>this_year-Table22[[#This Row],[neuN formation]]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1:E6" totalsRowShown="0">
  <autoFilter ref="A1:E6"/>
  <tableColumns count="5">
    <tableColumn id="1" name="parameter"/>
    <tableColumn id="2" name="value"/>
    <tableColumn id="3" name="SD"/>
    <tableColumn id="5" name="units"/>
    <tableColumn id="4" name="sourc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Hippocampus_data" displayName="Hippocampus_data" ref="A1:F4" totalsRowCount="1" headerRowDxfId="86">
  <autoFilter ref="A1:F3"/>
  <tableColumns count="6">
    <tableColumn id="1" name="source" totalsRowLabel="Total"/>
    <tableColumn id="2" name="volume (cm^3)" totalsRowFunction="average"/>
    <tableColumn id="6" name="volume delta (cm^3)" totalsRowFunction="custom" totalsRowDxfId="85">
      <totalsRowFormula>STDEV(Hippocampus_data[volume (cm^3)])</totalsRowFormula>
    </tableColumn>
    <tableColumn id="3" name="numebr of neurons (millions)" totalsRowFunction="average"/>
    <tableColumn id="4" name="delta num (millions)" totalsRowFunction="custom" totalsRowDxfId="84">
      <totalsRowFormula>STDEV(Hippocampus_data[numebr of neurons (millions)])</totalsRowFormula>
    </tableColumn>
    <tableColumn id="5" name="source detail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0" name="Table20" displayName="Table20" ref="A8:D10" totalsRowShown="0">
  <autoFilter ref="A8:D10"/>
  <tableColumns count="4">
    <tableColumn id="1" name="Column1"/>
    <tableColumn id="2" name="neurons (billions)"/>
    <tableColumn id="3" name="non-neurons (billions"/>
    <tableColumn id="4" name="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33" sqref="B33"/>
    </sheetView>
  </sheetViews>
  <sheetFormatPr defaultRowHeight="15" x14ac:dyDescent="0.25"/>
  <cols>
    <col min="1" max="1" width="19.5703125" customWidth="1"/>
    <col min="2" max="2" width="33.7109375" customWidth="1"/>
    <col min="3" max="3" width="27.42578125" customWidth="1"/>
    <col min="4" max="4" width="22.42578125" customWidth="1"/>
    <col min="5" max="5" width="19.42578125" bestFit="1" customWidth="1"/>
    <col min="7" max="7" width="33.85546875" customWidth="1"/>
    <col min="8" max="8" width="26" customWidth="1"/>
    <col min="9" max="9" width="27.7109375" customWidth="1"/>
  </cols>
  <sheetData>
    <row r="1" spans="1:12" x14ac:dyDescent="0.25">
      <c r="A1" t="s">
        <v>14</v>
      </c>
      <c r="B1" t="s">
        <v>75</v>
      </c>
      <c r="C1" t="s">
        <v>111</v>
      </c>
      <c r="D1" t="s">
        <v>122</v>
      </c>
      <c r="E1" t="s">
        <v>112</v>
      </c>
      <c r="F1" t="s">
        <v>113</v>
      </c>
      <c r="G1" t="s">
        <v>0</v>
      </c>
      <c r="H1" t="s">
        <v>114</v>
      </c>
      <c r="I1" t="s">
        <v>1</v>
      </c>
    </row>
    <row r="2" spans="1:12" x14ac:dyDescent="0.25">
      <c r="A2" s="28" t="s">
        <v>31</v>
      </c>
      <c r="B2" t="s">
        <v>119</v>
      </c>
      <c r="C2">
        <v>0</v>
      </c>
      <c r="D2">
        <v>0</v>
      </c>
      <c r="E2">
        <v>0</v>
      </c>
      <c r="F2">
        <v>0</v>
      </c>
      <c r="G2" t="s">
        <v>76</v>
      </c>
      <c r="I2" t="s">
        <v>116</v>
      </c>
      <c r="L2" s="57">
        <f>Table1322[[#This Row],[% population regenerated]]*Table1322[[#This Row],[turnover rate % per y]]</f>
        <v>0</v>
      </c>
    </row>
    <row r="3" spans="1:12" x14ac:dyDescent="0.25">
      <c r="A3" s="28" t="s">
        <v>31</v>
      </c>
      <c r="B3" t="s">
        <v>119</v>
      </c>
      <c r="C3">
        <v>0</v>
      </c>
      <c r="D3">
        <v>0</v>
      </c>
      <c r="E3">
        <v>0</v>
      </c>
      <c r="F3">
        <v>0</v>
      </c>
      <c r="G3" t="s">
        <v>77</v>
      </c>
      <c r="I3" t="s">
        <v>116</v>
      </c>
      <c r="L3" s="57">
        <f>Table1322[[#This Row],[% population regenerated]]*Table1322[[#This Row],[turnover rate % per y]]</f>
        <v>0</v>
      </c>
    </row>
    <row r="4" spans="1:12" x14ac:dyDescent="0.25">
      <c r="A4" t="s">
        <v>13</v>
      </c>
      <c r="B4" t="s">
        <v>119</v>
      </c>
      <c r="C4">
        <v>0</v>
      </c>
      <c r="D4">
        <v>0</v>
      </c>
      <c r="E4">
        <v>0</v>
      </c>
      <c r="F4">
        <v>0</v>
      </c>
      <c r="G4" t="s">
        <v>77</v>
      </c>
      <c r="I4" t="s">
        <v>116</v>
      </c>
      <c r="L4" s="57">
        <f>Table1322[[#This Row],[% population regenerated]]*Table1322[[#This Row],[turnover rate % per y]]</f>
        <v>0</v>
      </c>
    </row>
    <row r="5" spans="1:12" x14ac:dyDescent="0.25">
      <c r="A5" t="s">
        <v>107</v>
      </c>
      <c r="B5" t="s">
        <v>119</v>
      </c>
      <c r="C5" s="2">
        <v>0.35</v>
      </c>
      <c r="D5" s="2">
        <v>0.15</v>
      </c>
      <c r="E5" s="2">
        <v>1.7500000000000002E-2</v>
      </c>
      <c r="F5">
        <v>0</v>
      </c>
      <c r="G5" t="s">
        <v>78</v>
      </c>
      <c r="H5" t="s">
        <v>81</v>
      </c>
      <c r="L5" s="57">
        <f>Table1322[[#This Row],[% population regenerated]]*Table1322[[#This Row],[turnover rate % per y]]</f>
        <v>6.1250000000000002E-3</v>
      </c>
    </row>
    <row r="6" spans="1:12" x14ac:dyDescent="0.25">
      <c r="A6" t="s">
        <v>107</v>
      </c>
      <c r="B6" t="s">
        <v>120</v>
      </c>
      <c r="C6" s="2">
        <v>0.56000000000000005</v>
      </c>
      <c r="D6" s="2">
        <v>0.15</v>
      </c>
      <c r="E6" s="43">
        <v>4.9000000000000002E-2</v>
      </c>
      <c r="F6" s="2">
        <v>0</v>
      </c>
      <c r="G6" t="s">
        <v>78</v>
      </c>
      <c r="H6" t="s">
        <v>81</v>
      </c>
      <c r="L6" s="57">
        <f>Table1322[[#This Row],[% population regenerated]]*Table1322[[#This Row],[turnover rate % per y]]</f>
        <v>2.7440000000000003E-2</v>
      </c>
    </row>
    <row r="7" spans="1:12" x14ac:dyDescent="0.25">
      <c r="A7" t="s">
        <v>118</v>
      </c>
      <c r="B7" t="s">
        <v>119</v>
      </c>
      <c r="C7">
        <v>0</v>
      </c>
      <c r="D7">
        <v>0</v>
      </c>
      <c r="E7">
        <v>0</v>
      </c>
      <c r="F7">
        <v>0</v>
      </c>
      <c r="G7" t="s">
        <v>79</v>
      </c>
      <c r="I7" t="s">
        <v>116</v>
      </c>
      <c r="L7" s="57">
        <f>Table1322[[#This Row],[% population regenerated]]*Table1322[[#This Row],[turnover rate % per y]]</f>
        <v>0</v>
      </c>
    </row>
    <row r="8" spans="1:12" x14ac:dyDescent="0.25">
      <c r="A8" t="s">
        <v>118</v>
      </c>
      <c r="B8" t="s">
        <v>120</v>
      </c>
      <c r="C8" s="2">
        <v>1</v>
      </c>
      <c r="D8">
        <v>0</v>
      </c>
      <c r="E8" s="43">
        <v>2.7E-2</v>
      </c>
      <c r="F8" s="43">
        <v>7.0000000000000001E-3</v>
      </c>
      <c r="G8" t="s">
        <v>79</v>
      </c>
      <c r="H8" t="s">
        <v>115</v>
      </c>
      <c r="L8" s="57">
        <f>Table1322[[#This Row],[% population regenerated]]*Table1322[[#This Row],[turnover rate % per y]]</f>
        <v>2.7E-2</v>
      </c>
    </row>
    <row r="9" spans="1:12" x14ac:dyDescent="0.25">
      <c r="A9" t="s">
        <v>89</v>
      </c>
      <c r="B9" t="s">
        <v>119</v>
      </c>
      <c r="C9" s="2">
        <v>0.25</v>
      </c>
      <c r="D9" s="2">
        <v>0.1</v>
      </c>
      <c r="E9" s="2">
        <v>2.7E-2</v>
      </c>
      <c r="F9">
        <v>0</v>
      </c>
      <c r="G9" t="s">
        <v>80</v>
      </c>
      <c r="H9" t="s">
        <v>81</v>
      </c>
      <c r="L9" s="57">
        <f>Table1322[[#This Row],[% population regenerated]]*Table1322[[#This Row],[turnover rate % per y]]</f>
        <v>6.7499999999999999E-3</v>
      </c>
    </row>
    <row r="10" spans="1:12" x14ac:dyDescent="0.25">
      <c r="A10" t="s">
        <v>89</v>
      </c>
      <c r="B10" t="s">
        <v>46</v>
      </c>
      <c r="C10" s="2">
        <v>1</v>
      </c>
      <c r="D10" s="2">
        <v>0</v>
      </c>
      <c r="E10" s="43">
        <v>1.2999999999999999E-2</v>
      </c>
      <c r="F10" s="41">
        <v>5.0000000000000001E-3</v>
      </c>
      <c r="G10" t="s">
        <v>80</v>
      </c>
      <c r="H10" t="s">
        <v>82</v>
      </c>
      <c r="L10" s="57">
        <f>Table1322[[#This Row],[% population regenerated]]*Table1322[[#This Row],[turnover rate % per y]]</f>
        <v>1.2999999999999999E-2</v>
      </c>
    </row>
    <row r="11" spans="1:12" x14ac:dyDescent="0.25">
      <c r="A11" t="s">
        <v>89</v>
      </c>
      <c r="B11" t="s">
        <v>121</v>
      </c>
      <c r="C11" s="2">
        <v>0.64</v>
      </c>
      <c r="D11" s="2">
        <v>0.1</v>
      </c>
      <c r="E11" s="43">
        <v>5.7000000000000002E-2</v>
      </c>
      <c r="F11">
        <v>0</v>
      </c>
      <c r="G11" t="s">
        <v>80</v>
      </c>
      <c r="H11" t="s">
        <v>81</v>
      </c>
      <c r="L11" s="57">
        <f>Table1322[[#This Row],[% population regenerated]]*Table1322[[#This Row],[turnover rate % per y]]</f>
        <v>3.6480000000000005E-2</v>
      </c>
    </row>
    <row r="12" spans="1:12" x14ac:dyDescent="0.25">
      <c r="A12" t="s">
        <v>31</v>
      </c>
      <c r="B12" t="s">
        <v>48</v>
      </c>
      <c r="C12" s="2">
        <v>1</v>
      </c>
      <c r="D12">
        <v>0</v>
      </c>
      <c r="E12" s="2">
        <v>0.28000000000000003</v>
      </c>
      <c r="F12" s="2">
        <v>0.15</v>
      </c>
      <c r="G12" t="s">
        <v>83</v>
      </c>
      <c r="H12" t="s">
        <v>115</v>
      </c>
      <c r="L12" s="57">
        <f>Table1322[[#This Row],[% population regenerated]]*Table1322[[#This Row],[turnover rate % per y]]</f>
        <v>0.28000000000000003</v>
      </c>
    </row>
    <row r="14" spans="1:12" x14ac:dyDescent="0.25">
      <c r="E14" s="58"/>
    </row>
    <row r="20" spans="3:3" x14ac:dyDescent="0.25">
      <c r="C20" t="s">
        <v>123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8" sqref="C28"/>
    </sheetView>
  </sheetViews>
  <sheetFormatPr defaultRowHeight="15" x14ac:dyDescent="0.25"/>
  <cols>
    <col min="1" max="1" width="31.7109375" customWidth="1"/>
    <col min="2" max="2" width="17.28515625" customWidth="1"/>
    <col min="3" max="3" width="17.42578125" customWidth="1"/>
    <col min="4" max="4" width="30.5703125" customWidth="1"/>
    <col min="5" max="5" width="34.140625" customWidth="1"/>
    <col min="6" max="6" width="7.28515625" customWidth="1"/>
    <col min="7" max="8" width="17.7109375" customWidth="1"/>
    <col min="9" max="9" width="17.140625" customWidth="1"/>
    <col min="10" max="10" width="20.42578125" customWidth="1"/>
    <col min="11" max="11" width="15.140625" customWidth="1"/>
  </cols>
  <sheetData>
    <row r="1" spans="1:8" x14ac:dyDescent="0.25">
      <c r="A1" s="5" t="s">
        <v>14</v>
      </c>
      <c r="B1" s="6" t="s">
        <v>2</v>
      </c>
      <c r="C1" s="6" t="s">
        <v>3</v>
      </c>
      <c r="D1" s="6" t="s">
        <v>4</v>
      </c>
      <c r="E1" s="6" t="s">
        <v>5</v>
      </c>
      <c r="F1" s="5"/>
      <c r="G1" s="4"/>
      <c r="H1" t="s">
        <v>16</v>
      </c>
    </row>
    <row r="2" spans="1:8" x14ac:dyDescent="0.25">
      <c r="A2" s="5" t="s">
        <v>13</v>
      </c>
      <c r="B2" s="7">
        <v>105.06</v>
      </c>
      <c r="C2" s="14">
        <f>AM_det[[#This Row],[Mass (g)]]/AM_det[[#Totals],[Mass (g)]]</f>
        <v>8.1364910704604942E-2</v>
      </c>
      <c r="D2" s="7">
        <v>53.7</v>
      </c>
      <c r="E2" s="7">
        <v>15.54</v>
      </c>
      <c r="F2" s="5"/>
      <c r="G2" s="4"/>
    </row>
    <row r="3" spans="1:8" x14ac:dyDescent="0.25">
      <c r="A3" s="5" t="s">
        <v>6</v>
      </c>
      <c r="B3" s="7">
        <v>22.23</v>
      </c>
      <c r="C3" s="14">
        <f>AM_det[[#This Row],[Mass (g)]]/AM_det[[#Totals],[Mass (g)]]</f>
        <v>1.7216276079986371E-2</v>
      </c>
      <c r="D3" s="7">
        <v>0.27</v>
      </c>
      <c r="E3" s="7">
        <v>1.45</v>
      </c>
      <c r="F3" s="5"/>
      <c r="G3" s="4"/>
    </row>
    <row r="4" spans="1:8" x14ac:dyDescent="0.25">
      <c r="A4" s="5" t="s">
        <v>7</v>
      </c>
      <c r="B4" s="7">
        <v>259.77999999999997</v>
      </c>
      <c r="C4" s="14">
        <f>AM_det[[#This Row],[Mass (g)]]/AM_det[[#Totals],[Mass (g)]]</f>
        <v>0.20118957265222034</v>
      </c>
      <c r="D4" s="7">
        <v>4.17</v>
      </c>
      <c r="E4" s="7">
        <v>7.48</v>
      </c>
      <c r="F4" s="5"/>
      <c r="G4" s="4"/>
    </row>
    <row r="5" spans="1:8" x14ac:dyDescent="0.25">
      <c r="A5" s="5" t="s">
        <v>8</v>
      </c>
      <c r="B5" s="7">
        <v>222.04</v>
      </c>
      <c r="C5" s="14">
        <f>AM_det[[#This Row],[Mass (g)]]/AM_det[[#Totals],[Mass (g)]]</f>
        <v>0.17196140084571179</v>
      </c>
      <c r="D5" s="7">
        <v>0.36</v>
      </c>
      <c r="E5" s="7">
        <v>14.58</v>
      </c>
      <c r="F5" s="5"/>
      <c r="G5" s="4"/>
    </row>
    <row r="6" spans="1:8" x14ac:dyDescent="0.25">
      <c r="A6" s="5" t="s">
        <v>9</v>
      </c>
      <c r="B6" s="7">
        <v>310.13</v>
      </c>
      <c r="C6" s="14">
        <f>AM_det[[#This Row],[Mass (g)]]/AM_det[[#Totals],[Mass (g)]]</f>
        <v>0.24018370223509547</v>
      </c>
      <c r="D6" s="7">
        <v>7.62</v>
      </c>
      <c r="E6" s="7">
        <v>11.93</v>
      </c>
      <c r="F6" s="5"/>
      <c r="G6" s="4"/>
    </row>
    <row r="7" spans="1:8" x14ac:dyDescent="0.25">
      <c r="A7" s="5" t="s">
        <v>10</v>
      </c>
      <c r="B7" s="7">
        <v>272.83999999999997</v>
      </c>
      <c r="C7" s="14">
        <f>AM_det[[#This Row],[Mass (g)]]/AM_det[[#Totals],[Mass (g)]]</f>
        <v>0.21130403804154207</v>
      </c>
      <c r="D7" s="7">
        <v>0.59</v>
      </c>
      <c r="E7" s="7">
        <v>20.93</v>
      </c>
      <c r="F7" s="5"/>
      <c r="G7" s="4"/>
    </row>
    <row r="8" spans="1:8" x14ac:dyDescent="0.25">
      <c r="A8" s="5" t="s">
        <v>11</v>
      </c>
      <c r="B8" s="7">
        <v>99.14</v>
      </c>
      <c r="C8" s="14">
        <f>AM_det[[#This Row],[Mass (g)]]/AM_det[[#Totals],[Mass (g)]]</f>
        <v>7.6780099440838898E-2</v>
      </c>
      <c r="D8" s="7">
        <v>0.6</v>
      </c>
      <c r="E8" s="7">
        <v>6.66</v>
      </c>
      <c r="F8" s="5"/>
      <c r="G8" s="4"/>
    </row>
    <row r="9" spans="1:8" x14ac:dyDescent="0.25">
      <c r="A9" s="23" t="s">
        <v>12</v>
      </c>
      <c r="B9" s="32">
        <f>SUBTOTAL(109,AM_det[Mass (g)])</f>
        <v>1291.22</v>
      </c>
      <c r="C9" s="24">
        <f>SUBTOTAL(109,AM_det[% Total brain mass])</f>
        <v>0.99999999999999978</v>
      </c>
      <c r="D9" s="23">
        <f>SUBTOTAL(109,AM_det[Absolute neuronal number (billion)])</f>
        <v>67.31</v>
      </c>
      <c r="E9" s="23">
        <f>SUBTOTAL(109,AM_det[Absolute non-neuronal number (billion)])</f>
        <v>78.569999999999993</v>
      </c>
      <c r="F9" s="5"/>
      <c r="G9" s="4"/>
    </row>
    <row r="10" spans="1:8" x14ac:dyDescent="0.25">
      <c r="A10" s="12"/>
      <c r="B10" s="13"/>
      <c r="C10" s="13"/>
      <c r="D10" s="13"/>
      <c r="E10" s="13"/>
      <c r="F10" s="5"/>
      <c r="G10" s="4"/>
    </row>
    <row r="11" spans="1:8" x14ac:dyDescent="0.25">
      <c r="A11" s="5"/>
      <c r="B11" s="5"/>
      <c r="C11" s="5"/>
      <c r="D11" s="5"/>
      <c r="E11" s="5"/>
      <c r="F11" s="5"/>
      <c r="G11" s="4"/>
    </row>
    <row r="12" spans="1:8" x14ac:dyDescent="0.25">
      <c r="F12" s="5"/>
      <c r="G12" s="4"/>
    </row>
    <row r="13" spans="1:8" x14ac:dyDescent="0.25">
      <c r="F13" s="5"/>
      <c r="G13" s="4"/>
    </row>
    <row r="14" spans="1:8" x14ac:dyDescent="0.25">
      <c r="A14" s="5"/>
      <c r="B14" s="5"/>
      <c r="C14" s="5"/>
      <c r="D14" s="5"/>
      <c r="E14" s="5"/>
    </row>
    <row r="16" spans="1:8" x14ac:dyDescent="0.25">
      <c r="A16" s="18" t="s">
        <v>14</v>
      </c>
      <c r="B16" s="19" t="s">
        <v>2</v>
      </c>
      <c r="C16" s="19" t="s">
        <v>3</v>
      </c>
      <c r="D16" s="19" t="s">
        <v>4</v>
      </c>
      <c r="E16" s="19" t="s">
        <v>5</v>
      </c>
    </row>
    <row r="17" spans="1:5" x14ac:dyDescent="0.25">
      <c r="A17" s="26" t="s">
        <v>31</v>
      </c>
      <c r="B17" s="20">
        <f>B4+B6</f>
        <v>569.91</v>
      </c>
      <c r="C17" s="21">
        <f>B17/AM_summ[[#Totals],[Mass (g)]]</f>
        <v>0.44137327488731593</v>
      </c>
      <c r="D17" s="20">
        <f t="shared" ref="D17:E18" si="0">D4+D6</f>
        <v>11.79</v>
      </c>
      <c r="E17" s="20">
        <f t="shared" si="0"/>
        <v>19.41</v>
      </c>
    </row>
    <row r="18" spans="1:5" x14ac:dyDescent="0.25">
      <c r="A18" s="26" t="s">
        <v>117</v>
      </c>
      <c r="B18" s="20">
        <f>B5+B7</f>
        <v>494.88</v>
      </c>
      <c r="C18" s="21">
        <f>B18/AM_summ[[#Totals],[Mass (g)]]</f>
        <v>0.38326543888725395</v>
      </c>
      <c r="D18" s="20">
        <f t="shared" si="0"/>
        <v>0.95</v>
      </c>
      <c r="E18" s="20">
        <f t="shared" si="0"/>
        <v>35.51</v>
      </c>
    </row>
    <row r="19" spans="1:5" x14ac:dyDescent="0.25">
      <c r="A19" s="27" t="s">
        <v>13</v>
      </c>
      <c r="B19" s="15">
        <v>105.06</v>
      </c>
      <c r="C19" s="21">
        <f>B19/AM_summ[[#Totals],[Mass (g)]]</f>
        <v>8.1364910704604956E-2</v>
      </c>
      <c r="D19" s="15">
        <v>53.7</v>
      </c>
      <c r="E19" s="15">
        <v>15.54</v>
      </c>
    </row>
    <row r="20" spans="1:5" x14ac:dyDescent="0.25">
      <c r="A20" s="27" t="s">
        <v>21</v>
      </c>
      <c r="B20" s="25">
        <f>B3+B8</f>
        <v>121.37</v>
      </c>
      <c r="C20" s="21">
        <f>B20/AM_summ[[#Totals],[Mass (g)]]</f>
        <v>9.3996375520825279E-2</v>
      </c>
      <c r="D20" s="25">
        <f t="shared" ref="D20:E20" si="1">D3+D8</f>
        <v>0.87</v>
      </c>
      <c r="E20" s="25">
        <f t="shared" si="1"/>
        <v>8.11</v>
      </c>
    </row>
    <row r="21" spans="1:5" x14ac:dyDescent="0.25">
      <c r="A21" s="23" t="s">
        <v>12</v>
      </c>
      <c r="B21" s="33">
        <f>SUBTOTAL(109,AM_summ[Mass (g)])</f>
        <v>1291.2199999999998</v>
      </c>
      <c r="C21" s="34">
        <f>SUBTOTAL(109,AM_summ[% Total brain mass])</f>
        <v>1</v>
      </c>
      <c r="D21" s="31">
        <f>SUBTOTAL(109,AM_summ[Absolute neuronal number (billion)])</f>
        <v>67.31</v>
      </c>
      <c r="E21" s="31">
        <f>SUBTOTAL(109,AM_summ[Absolute non-neuronal number (billion)])</f>
        <v>78.570000000000007</v>
      </c>
    </row>
    <row r="22" spans="1:5" x14ac:dyDescent="0.25">
      <c r="A22" s="22"/>
      <c r="B22" s="22"/>
      <c r="C22" s="22"/>
      <c r="D22" s="22"/>
      <c r="E22" s="22"/>
    </row>
    <row r="23" spans="1:5" x14ac:dyDescent="0.25">
      <c r="A23" s="22"/>
      <c r="B23" s="22"/>
      <c r="C23" s="22"/>
      <c r="D23" s="22"/>
      <c r="E23" s="22"/>
    </row>
    <row r="24" spans="1:5" x14ac:dyDescent="0.25">
      <c r="A24" s="22"/>
      <c r="B24" s="22"/>
      <c r="C24" s="22"/>
      <c r="D24" s="22"/>
      <c r="E24" s="2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30" sqref="J30"/>
    </sheetView>
  </sheetViews>
  <sheetFormatPr defaultRowHeight="15" x14ac:dyDescent="0.25"/>
  <cols>
    <col min="1" max="1" width="18.85546875" customWidth="1"/>
    <col min="2" max="2" width="12.42578125" customWidth="1"/>
    <col min="3" max="3" width="11.42578125" customWidth="1"/>
    <col min="4" max="4" width="23.42578125" customWidth="1"/>
    <col min="5" max="5" width="12.5703125" customWidth="1"/>
    <col min="6" max="6" width="11.85546875" customWidth="1"/>
  </cols>
  <sheetData>
    <row r="1" spans="1:13" x14ac:dyDescent="0.25">
      <c r="A1" s="53" t="s">
        <v>38</v>
      </c>
      <c r="B1" s="53" t="s">
        <v>46</v>
      </c>
      <c r="C1" s="53" t="s">
        <v>63</v>
      </c>
      <c r="D1" s="53" t="s">
        <v>47</v>
      </c>
      <c r="E1" s="53" t="s">
        <v>64</v>
      </c>
      <c r="F1" s="53" t="s">
        <v>48</v>
      </c>
      <c r="G1" s="53" t="s">
        <v>72</v>
      </c>
      <c r="H1" s="53" t="s">
        <v>71</v>
      </c>
      <c r="I1" s="53" t="s">
        <v>73</v>
      </c>
      <c r="J1" s="4"/>
      <c r="M1" t="s">
        <v>44</v>
      </c>
    </row>
    <row r="2" spans="1:13" x14ac:dyDescent="0.25">
      <c r="A2" s="54" t="s">
        <v>40</v>
      </c>
      <c r="B2" s="54">
        <f>'von Bartheld et al., 2016'!B22*(1-nonNeu_summ[[#This Row],[endothelial cells]])</f>
        <v>0.36259999999999998</v>
      </c>
      <c r="C2" s="54">
        <f>'von Bartheld et al., 2016'!C22*(1-nonNeu_summ[[#This Row],[endothelial cells]])+nonNeu_summ[[#This Row],[std end.]]*'von Bartheld et al., 2016'!B22</f>
        <v>9.9291490068384058E-2</v>
      </c>
      <c r="D2" s="54">
        <f>'von Bartheld et al., 2016'!D22*(1-nonNeu_summ[[#This Row],[endothelial cells]])</f>
        <v>0.26039999999999996</v>
      </c>
      <c r="E2" s="54">
        <f>'von Bartheld et al., 2016'!E22*(1-nonNeu_summ[[#This Row],[endothelial cells]])+nonNeu_summ[[#This Row],[std end.]]*'von Bartheld et al., 2016'!D22</f>
        <v>7.3316437447546623E-2</v>
      </c>
      <c r="F2" s="54">
        <f>'von Bartheld et al., 2016'!F22*(1-nonNeu_summ[[#This Row],[endothelial cells]])</f>
        <v>7.3499999999999996E-2</v>
      </c>
      <c r="G2" s="54">
        <f>'von Bartheld et al., 2016'!G22*(1-nonNeu_summ[[#This Row],[endothelial cells]])+nonNeu_summ[[#This Row],[std end.]]*'von Bartheld et al., 2016'!F22</f>
        <v>3.258322676879423E-2</v>
      </c>
      <c r="H2" s="55">
        <f>'von Bartheld et al., 2016'!B30</f>
        <v>0.3</v>
      </c>
      <c r="I2" s="55">
        <f>'von Bartheld et al., 2016'!C30</f>
        <v>0</v>
      </c>
      <c r="J2" s="4"/>
    </row>
    <row r="3" spans="1:13" x14ac:dyDescent="0.25">
      <c r="A3" s="56" t="s">
        <v>42</v>
      </c>
      <c r="B3" s="54">
        <f>'von Bartheld et al., 2016'!B23*(1-nonNeu_summ[[#This Row],[endothelial cells]])</f>
        <v>0.57799999999999996</v>
      </c>
      <c r="C3" s="54">
        <f>'von Bartheld et al., 2016'!C23*(1-nonNeu_summ[[#This Row],[endothelial cells]])+nonNeu_summ[[#This Row],[std end.]]*'von Bartheld et al., 2016'!B23</f>
        <v>4.6020815280171247E-2</v>
      </c>
      <c r="D3" s="54">
        <f>'von Bartheld et al., 2016'!D23*(1-nonNeu_summ[[#This Row],[endothelial cells]])</f>
        <v>0.19974999999999998</v>
      </c>
      <c r="E3" s="54">
        <f>'von Bartheld et al., 2016'!E23*(1-nonNeu_summ[[#This Row],[endothelial cells]])+nonNeu_summ[[#This Row],[std end.]]*'von Bartheld et al., 2016'!D23</f>
        <v>1.7760407640085643E-2</v>
      </c>
      <c r="F3" s="54">
        <f>'von Bartheld et al., 2016'!F23*(1-nonNeu_summ[[#This Row],[endothelial cells]])</f>
        <v>7.2250000000000009E-2</v>
      </c>
      <c r="G3" s="54">
        <f>'von Bartheld et al., 2016'!G23*(1-nonNeu_summ[[#This Row],[endothelial cells]])+nonNeu_summ[[#This Row],[std end.]]*'von Bartheld et al., 2016'!F23</f>
        <v>2.2281222920256978E-2</v>
      </c>
      <c r="H3" s="55">
        <f>'von Bartheld et al., 2016'!B31</f>
        <v>0.15</v>
      </c>
      <c r="I3" s="55">
        <f>'von Bartheld et al., 2016'!C31</f>
        <v>0.05</v>
      </c>
      <c r="J3" s="4"/>
    </row>
    <row r="4" spans="1:13" x14ac:dyDescent="0.25">
      <c r="A4" s="27" t="s">
        <v>90</v>
      </c>
      <c r="B4" s="54">
        <f>AVERAGE(B2:B3)</f>
        <v>0.47029999999999994</v>
      </c>
      <c r="C4" s="54">
        <f>MAX(C2:C3)</f>
        <v>9.9291490068384058E-2</v>
      </c>
      <c r="D4" s="54">
        <f>AVERAGE(D2:D3)</f>
        <v>0.23007499999999997</v>
      </c>
      <c r="E4" s="54">
        <f>MAX(E2:E3)</f>
        <v>7.3316437447546623E-2</v>
      </c>
      <c r="F4" s="54">
        <f>AVERAGE(F2:F3)</f>
        <v>7.2874999999999995E-2</v>
      </c>
      <c r="G4" s="54">
        <f>MAX(G2:G3)</f>
        <v>3.258322676879423E-2</v>
      </c>
      <c r="H4" s="54">
        <f>AVERAGE(H2:H3)</f>
        <v>0.22499999999999998</v>
      </c>
      <c r="I4" s="54">
        <f>MAX(I2:I3)</f>
        <v>0.05</v>
      </c>
      <c r="J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5">
      <c r="B14" s="41"/>
      <c r="C14" s="41"/>
    </row>
    <row r="15" spans="1:13" x14ac:dyDescent="0.25">
      <c r="B15" s="41"/>
      <c r="C15" s="41"/>
    </row>
    <row r="16" spans="1:13" x14ac:dyDescent="0.25">
      <c r="B16" s="41"/>
      <c r="C16" s="41"/>
    </row>
    <row r="17" spans="2:3" x14ac:dyDescent="0.25">
      <c r="B17" s="41"/>
      <c r="C17" s="41"/>
    </row>
    <row r="18" spans="2:3" x14ac:dyDescent="0.25">
      <c r="B18" s="41"/>
    </row>
    <row r="19" spans="2:3" x14ac:dyDescent="0.25">
      <c r="B19" s="41"/>
    </row>
    <row r="20" spans="2:3" x14ac:dyDescent="0.25">
      <c r="B20" s="41"/>
    </row>
    <row r="21" spans="2:3" x14ac:dyDescent="0.25">
      <c r="B21" s="4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zoomScale="70" zoomScaleNormal="70" workbookViewId="0">
      <selection activeCell="G1" sqref="G1:I1048576"/>
    </sheetView>
  </sheetViews>
  <sheetFormatPr defaultRowHeight="15" x14ac:dyDescent="0.25"/>
  <cols>
    <col min="1" max="1" width="14.28515625" customWidth="1"/>
  </cols>
  <sheetData>
    <row r="1" spans="1:4" ht="45" x14ac:dyDescent="0.25">
      <c r="A1" s="62" t="s">
        <v>157</v>
      </c>
      <c r="B1" s="63" t="s">
        <v>160</v>
      </c>
      <c r="C1" s="63" t="s">
        <v>159</v>
      </c>
      <c r="D1" s="63" t="s">
        <v>161</v>
      </c>
    </row>
    <row r="2" spans="1:4" x14ac:dyDescent="0.25">
      <c r="A2" s="64">
        <v>24.6062217365211</v>
      </c>
      <c r="B2" s="64" t="s">
        <v>159</v>
      </c>
      <c r="C2" s="64">
        <f>1*(טבלה6[[#This Row],[sex]]=טבלה6[[#Headers],[male]])</f>
        <v>1</v>
      </c>
      <c r="D2" s="64">
        <v>18.998012501517099</v>
      </c>
    </row>
    <row r="3" spans="1:4" x14ac:dyDescent="0.25">
      <c r="A3" s="64">
        <v>29.609902642514101</v>
      </c>
      <c r="B3" s="64" t="s">
        <v>159</v>
      </c>
      <c r="C3" s="64">
        <f>1*(טבלה6[[#This Row],[sex]]=טבלה6[[#Headers],[male]])</f>
        <v>1</v>
      </c>
      <c r="D3" s="64">
        <v>19.083626653720099</v>
      </c>
    </row>
    <row r="4" spans="1:4" x14ac:dyDescent="0.25">
      <c r="A4" s="64">
        <v>28.550392824759399</v>
      </c>
      <c r="B4" s="64" t="s">
        <v>159</v>
      </c>
      <c r="C4" s="64">
        <f>1*(טבלה6[[#This Row],[sex]]=טבלה6[[#Headers],[male]])</f>
        <v>1</v>
      </c>
      <c r="D4" s="64">
        <v>21.176417040903001</v>
      </c>
    </row>
    <row r="5" spans="1:4" x14ac:dyDescent="0.25">
      <c r="A5" s="64">
        <v>27.785943571368701</v>
      </c>
      <c r="B5" s="64" t="s">
        <v>159</v>
      </c>
      <c r="C5" s="64">
        <f>1*(טבלה6[[#This Row],[sex]]=טבלה6[[#Headers],[male]])</f>
        <v>1</v>
      </c>
      <c r="D5" s="64">
        <v>21.176417040903001</v>
      </c>
    </row>
    <row r="6" spans="1:4" x14ac:dyDescent="0.25">
      <c r="A6" s="64">
        <v>26.2459104403395</v>
      </c>
      <c r="B6" s="64" t="s">
        <v>159</v>
      </c>
      <c r="C6" s="64">
        <f>1*(טבלה6[[#This Row],[sex]]=טבלה6[[#Headers],[male]])</f>
        <v>1</v>
      </c>
      <c r="D6" s="64">
        <v>28.120676052918999</v>
      </c>
    </row>
    <row r="7" spans="1:4" x14ac:dyDescent="0.25">
      <c r="A7" s="64">
        <v>23.425120108027301</v>
      </c>
      <c r="B7" s="64" t="s">
        <v>159</v>
      </c>
      <c r="C7" s="64">
        <f>1*(טבלה6[[#This Row],[sex]]=טבלה6[[#Headers],[male]])</f>
        <v>1</v>
      </c>
      <c r="D7" s="64">
        <v>34.208793542905603</v>
      </c>
    </row>
    <row r="8" spans="1:4" x14ac:dyDescent="0.25">
      <c r="A8" s="64">
        <v>25.841573413138299</v>
      </c>
      <c r="B8" s="64" t="s">
        <v>159</v>
      </c>
      <c r="C8" s="64">
        <f>1*(טבלה6[[#This Row],[sex]]=טבלה6[[#Headers],[male]])</f>
        <v>1</v>
      </c>
      <c r="D8" s="64">
        <v>37.157725452117901</v>
      </c>
    </row>
    <row r="9" spans="1:4" x14ac:dyDescent="0.25">
      <c r="A9" s="64">
        <v>31.349520075173398</v>
      </c>
      <c r="B9" s="64" t="s">
        <v>159</v>
      </c>
      <c r="C9" s="64">
        <f>1*(טבלה6[[#This Row],[sex]]=טבלה6[[#Headers],[male]])</f>
        <v>1</v>
      </c>
      <c r="D9" s="64">
        <v>38.1089938099283</v>
      </c>
    </row>
    <row r="10" spans="1:4" x14ac:dyDescent="0.25">
      <c r="A10" s="64">
        <v>23.923992420704199</v>
      </c>
      <c r="B10" s="64" t="s">
        <v>159</v>
      </c>
      <c r="C10" s="64">
        <f>1*(טבלה6[[#This Row],[sex]]=טבלה6[[#Headers],[male]])</f>
        <v>1</v>
      </c>
      <c r="D10" s="64">
        <v>40.161912853501597</v>
      </c>
    </row>
    <row r="11" spans="1:4" x14ac:dyDescent="0.25">
      <c r="A11" s="64">
        <v>25.023139666226999</v>
      </c>
      <c r="B11" s="64" t="s">
        <v>159</v>
      </c>
      <c r="C11" s="64">
        <f>1*(טבלה6[[#This Row],[sex]]=טבלה6[[#Headers],[male]])</f>
        <v>1</v>
      </c>
      <c r="D11" s="64">
        <v>42.294574584294203</v>
      </c>
    </row>
    <row r="12" spans="1:4" x14ac:dyDescent="0.25">
      <c r="A12" s="64">
        <v>26.7391884258974</v>
      </c>
      <c r="B12" s="64" t="s">
        <v>159</v>
      </c>
      <c r="C12" s="64">
        <f>1*(טבלה6[[#This Row],[sex]]=טבלה6[[#Headers],[male]])</f>
        <v>1</v>
      </c>
      <c r="D12" s="64">
        <v>43.272556882369898</v>
      </c>
    </row>
    <row r="13" spans="1:4" x14ac:dyDescent="0.25">
      <c r="A13" s="64">
        <v>28.4008525622428</v>
      </c>
      <c r="B13" s="64" t="s">
        <v>159</v>
      </c>
      <c r="C13" s="64">
        <f>1*(טבלה6[[#This Row],[sex]]=טבלה6[[#Headers],[male]])</f>
        <v>1</v>
      </c>
      <c r="D13" s="64">
        <v>44.197111299915001</v>
      </c>
    </row>
    <row r="14" spans="1:4" x14ac:dyDescent="0.25">
      <c r="A14" s="64">
        <v>24.849091995585798</v>
      </c>
      <c r="B14" s="64" t="s">
        <v>159</v>
      </c>
      <c r="C14" s="64">
        <f>1*(טבלה6[[#This Row],[sex]]=טבלה6[[#Headers],[male]])</f>
        <v>1</v>
      </c>
      <c r="D14" s="64">
        <v>44.3694110574951</v>
      </c>
    </row>
    <row r="15" spans="1:4" x14ac:dyDescent="0.25">
      <c r="A15" s="64">
        <v>26.176745672989998</v>
      </c>
      <c r="B15" s="64" t="s">
        <v>159</v>
      </c>
      <c r="C15" s="64">
        <f>1*(טבלה6[[#This Row],[sex]]=טבלה6[[#Headers],[male]])</f>
        <v>1</v>
      </c>
      <c r="D15" s="64">
        <v>44.192483917951101</v>
      </c>
    </row>
    <row r="16" spans="1:4" x14ac:dyDescent="0.25">
      <c r="A16" s="64">
        <v>23.685426840670999</v>
      </c>
      <c r="B16" s="64" t="s">
        <v>159</v>
      </c>
      <c r="C16" s="64">
        <f>1*(טבלה6[[#This Row],[sex]]=טבלה6[[#Headers],[male]])</f>
        <v>1</v>
      </c>
      <c r="D16" s="64">
        <v>48.253025050017797</v>
      </c>
    </row>
    <row r="17" spans="1:4" x14ac:dyDescent="0.25">
      <c r="A17" s="64">
        <v>26.9579086921818</v>
      </c>
      <c r="B17" s="64" t="s">
        <v>159</v>
      </c>
      <c r="C17" s="64">
        <f>1*(טבלה6[[#This Row],[sex]]=טבלה6[[#Headers],[male]])</f>
        <v>1</v>
      </c>
      <c r="D17" s="64">
        <v>50.1901019541206</v>
      </c>
    </row>
    <row r="18" spans="1:4" x14ac:dyDescent="0.25">
      <c r="A18" s="64">
        <v>30.081119620197999</v>
      </c>
      <c r="B18" s="64" t="s">
        <v>159</v>
      </c>
      <c r="C18" s="64">
        <f>1*(טבלה6[[#This Row],[sex]]=טבלה6[[#Headers],[male]])</f>
        <v>1</v>
      </c>
      <c r="D18" s="64">
        <v>52.282892341303501</v>
      </c>
    </row>
    <row r="19" spans="1:4" x14ac:dyDescent="0.25">
      <c r="A19" s="64">
        <v>23.997871956828899</v>
      </c>
      <c r="B19" s="64" t="s">
        <v>159</v>
      </c>
      <c r="C19" s="64">
        <f>1*(טבלה6[[#This Row],[sex]]=טבלה6[[#Headers],[male]])</f>
        <v>1</v>
      </c>
      <c r="D19" s="64">
        <v>52.233508314115703</v>
      </c>
    </row>
    <row r="20" spans="1:4" x14ac:dyDescent="0.25">
      <c r="A20" s="64">
        <v>28.4779481189262</v>
      </c>
      <c r="B20" s="64" t="s">
        <v>159</v>
      </c>
      <c r="C20" s="64">
        <f>1*(טבלה6[[#This Row],[sex]]=טבלה6[[#Headers],[male]])</f>
        <v>1</v>
      </c>
      <c r="D20" s="64">
        <v>53.376850952785503</v>
      </c>
    </row>
    <row r="21" spans="1:4" x14ac:dyDescent="0.25">
      <c r="A21" s="64">
        <v>25.4427475558788</v>
      </c>
      <c r="B21" s="64" t="s">
        <v>159</v>
      </c>
      <c r="C21" s="64">
        <f>1*(טבלה6[[#This Row],[sex]]=טבלה6[[#Headers],[male]])</f>
        <v>1</v>
      </c>
      <c r="D21" s="64">
        <v>54.306376033845901</v>
      </c>
    </row>
    <row r="22" spans="1:4" x14ac:dyDescent="0.25">
      <c r="A22" s="64">
        <v>30.0129906686591</v>
      </c>
      <c r="B22" s="64" t="s">
        <v>159</v>
      </c>
      <c r="C22" s="64">
        <f>1*(טבלה6[[#This Row],[sex]]=טבלה6[[#Headers],[male]])</f>
        <v>1</v>
      </c>
      <c r="D22" s="64">
        <v>54.375682728486403</v>
      </c>
    </row>
    <row r="23" spans="1:4" x14ac:dyDescent="0.25">
      <c r="A23" s="64">
        <v>23.032887119338699</v>
      </c>
      <c r="B23" s="64" t="s">
        <v>159</v>
      </c>
      <c r="C23" s="64">
        <f>1*(טבלה6[[#This Row],[sex]]=טבלה6[[#Headers],[male]])</f>
        <v>1</v>
      </c>
      <c r="D23" s="64">
        <v>56.173579924748097</v>
      </c>
    </row>
    <row r="24" spans="1:4" x14ac:dyDescent="0.25">
      <c r="A24" s="64">
        <v>25.988984419773999</v>
      </c>
      <c r="B24" s="64" t="s">
        <v>159</v>
      </c>
      <c r="C24" s="64">
        <f>1*(טבלה6[[#This Row],[sex]]=טבלה6[[#Headers],[male]])</f>
        <v>1</v>
      </c>
      <c r="D24" s="64">
        <v>57.419741473479696</v>
      </c>
    </row>
    <row r="25" spans="1:4" x14ac:dyDescent="0.25">
      <c r="A25" s="64">
        <v>23.192027481815899</v>
      </c>
      <c r="B25" s="64" t="s">
        <v>159</v>
      </c>
      <c r="C25" s="64">
        <f>1*(טבלה6[[#This Row],[sex]]=טבלה6[[#Headers],[male]])</f>
        <v>1</v>
      </c>
      <c r="D25" s="64">
        <v>59.208936157300599</v>
      </c>
    </row>
    <row r="26" spans="1:4" x14ac:dyDescent="0.25">
      <c r="A26" s="64">
        <v>27.271666578321899</v>
      </c>
      <c r="B26" s="64" t="s">
        <v>159</v>
      </c>
      <c r="C26" s="64">
        <f>1*(טבלה6[[#This Row],[sex]]=טבלה6[[#Headers],[male]])</f>
        <v>1</v>
      </c>
      <c r="D26" s="64">
        <v>60.321109964801501</v>
      </c>
    </row>
    <row r="27" spans="1:4" x14ac:dyDescent="0.25">
      <c r="A27" s="64">
        <v>24.341591956889499</v>
      </c>
      <c r="B27" s="64" t="s">
        <v>159</v>
      </c>
      <c r="C27" s="64">
        <f>1*(טבלה6[[#This Row],[sex]]=טבלה6[[#Headers],[male]])</f>
        <v>1</v>
      </c>
      <c r="D27" s="64">
        <v>60.3088840676457</v>
      </c>
    </row>
    <row r="28" spans="1:4" x14ac:dyDescent="0.25">
      <c r="A28" s="64">
        <v>24.904737328584201</v>
      </c>
      <c r="B28" s="64" t="s">
        <v>159</v>
      </c>
      <c r="C28" s="64">
        <f>1*(טבלה6[[#This Row],[sex]]=טבלה6[[#Headers],[male]])</f>
        <v>1</v>
      </c>
      <c r="D28" s="64">
        <v>61.355443621798699</v>
      </c>
    </row>
    <row r="29" spans="1:4" x14ac:dyDescent="0.25">
      <c r="A29" s="64">
        <v>26.2399823019976</v>
      </c>
      <c r="B29" s="64" t="s">
        <v>159</v>
      </c>
      <c r="C29" s="64">
        <f>1*(טבלה6[[#This Row],[sex]]=טבלה6[[#Headers],[male]])</f>
        <v>1</v>
      </c>
      <c r="D29" s="64">
        <v>65.308669134603704</v>
      </c>
    </row>
    <row r="30" spans="1:4" x14ac:dyDescent="0.25">
      <c r="A30" s="64">
        <v>26.778141702273899</v>
      </c>
      <c r="B30" s="64" t="s">
        <v>159</v>
      </c>
      <c r="C30" s="64">
        <f>1*(טבלה6[[#This Row],[sex]]=טבלה6[[#Headers],[male]])</f>
        <v>1</v>
      </c>
      <c r="D30" s="64">
        <v>67.319532103410594</v>
      </c>
    </row>
    <row r="31" spans="1:4" x14ac:dyDescent="0.25">
      <c r="A31" s="64">
        <v>23.5748144473305</v>
      </c>
      <c r="B31" s="64" t="s">
        <v>159</v>
      </c>
      <c r="C31" s="64">
        <f>1*(טבלה6[[#This Row],[sex]]=טבלה6[[#Headers],[male]])</f>
        <v>1</v>
      </c>
      <c r="D31" s="64">
        <v>71.369022332807305</v>
      </c>
    </row>
    <row r="32" spans="1:4" x14ac:dyDescent="0.25">
      <c r="A32" s="64">
        <v>26.768919215226301</v>
      </c>
      <c r="B32" s="64" t="s">
        <v>159</v>
      </c>
      <c r="C32" s="64">
        <f>1*(טבלה6[[#This Row],[sex]]=טבלה6[[#Headers],[male]])</f>
        <v>1</v>
      </c>
      <c r="D32" s="64">
        <v>76.302418376016504</v>
      </c>
    </row>
    <row r="33" spans="1:4" x14ac:dyDescent="0.25">
      <c r="A33" s="64">
        <v>29.8403013114043</v>
      </c>
      <c r="B33" s="64" t="s">
        <v>159</v>
      </c>
      <c r="C33" s="64">
        <f>1*(טבלה6[[#This Row],[sex]]=טבלה6[[#Headers],[male]])</f>
        <v>1</v>
      </c>
      <c r="D33" s="64">
        <v>77.253686733826896</v>
      </c>
    </row>
    <row r="34" spans="1:4" x14ac:dyDescent="0.25">
      <c r="A34" s="64">
        <v>25.411563892387701</v>
      </c>
      <c r="B34" s="64" t="s">
        <v>159</v>
      </c>
      <c r="C34" s="64">
        <f>1*(טבלה6[[#This Row],[sex]]=טבלה6[[#Headers],[male]])</f>
        <v>1</v>
      </c>
      <c r="D34" s="64">
        <v>78.395208763199406</v>
      </c>
    </row>
    <row r="35" spans="1:4" x14ac:dyDescent="0.25">
      <c r="A35" s="64">
        <v>23.562969071203899</v>
      </c>
      <c r="B35" s="64" t="s">
        <v>159</v>
      </c>
      <c r="C35" s="64">
        <f>1*(טבלה6[[#This Row],[sex]]=טבלה6[[#Headers],[male]])</f>
        <v>1</v>
      </c>
      <c r="D35" s="64">
        <v>78.365623862119094</v>
      </c>
    </row>
    <row r="36" spans="1:4" x14ac:dyDescent="0.25">
      <c r="A36" s="64">
        <v>25.031824715784801</v>
      </c>
      <c r="B36" s="64" t="s">
        <v>159</v>
      </c>
      <c r="C36" s="64">
        <f>1*(טבלה6[[#This Row],[sex]]=טבלה6[[#Headers],[male]])</f>
        <v>1</v>
      </c>
      <c r="D36" s="64">
        <v>81.391704090302198</v>
      </c>
    </row>
    <row r="37" spans="1:4" x14ac:dyDescent="0.25">
      <c r="A37" s="64">
        <v>22.375913236828499</v>
      </c>
      <c r="B37" s="64" t="s">
        <v>159</v>
      </c>
      <c r="C37" s="64">
        <f>1*(טבלה6[[#This Row],[sex]]=טבלה6[[#Headers],[male]])</f>
        <v>1</v>
      </c>
      <c r="D37" s="64">
        <v>87.293209127321205</v>
      </c>
    </row>
    <row r="38" spans="1:4" x14ac:dyDescent="0.25">
      <c r="A38" s="64">
        <v>18.0541810762621</v>
      </c>
      <c r="B38" s="64" t="s">
        <v>159</v>
      </c>
      <c r="C38" s="64">
        <f>1*(טבלה6[[#This Row],[sex]]=טבלה6[[#Headers],[male]])</f>
        <v>1</v>
      </c>
      <c r="D38" s="64">
        <v>74.324553950722105</v>
      </c>
    </row>
    <row r="39" spans="1:4" x14ac:dyDescent="0.25">
      <c r="A39" s="64">
        <v>25.9385508035468</v>
      </c>
      <c r="B39" s="64" t="s">
        <v>159</v>
      </c>
      <c r="C39" s="64">
        <f>1*(טבלה6[[#This Row],[sex]]=טבלה6[[#Headers],[male]])</f>
        <v>1</v>
      </c>
      <c r="D39" s="64">
        <v>54.290569243840203</v>
      </c>
    </row>
    <row r="40" spans="1:4" x14ac:dyDescent="0.25">
      <c r="A40" s="64">
        <v>26.129198726770099</v>
      </c>
      <c r="B40" s="64" t="s">
        <v>159</v>
      </c>
      <c r="C40" s="64">
        <f>1*(טבלה6[[#This Row],[sex]]=טבלה6[[#Headers],[male]])</f>
        <v>1</v>
      </c>
      <c r="D40" s="64">
        <v>64.1546304163126</v>
      </c>
    </row>
    <row r="41" spans="1:4" x14ac:dyDescent="0.25">
      <c r="A41" s="64">
        <v>25.020066234279</v>
      </c>
      <c r="B41" s="64" t="s">
        <v>159</v>
      </c>
      <c r="C41" s="64">
        <f>1*(טבלה6[[#This Row],[sex]]=טבלה6[[#Headers],[male]])</f>
        <v>1</v>
      </c>
      <c r="D41" s="64">
        <v>19.192863211554801</v>
      </c>
    </row>
    <row r="42" spans="1:4" x14ac:dyDescent="0.25">
      <c r="A42" s="64">
        <v>21.957852681082201</v>
      </c>
      <c r="B42" s="64" t="s">
        <v>159</v>
      </c>
      <c r="C42" s="64">
        <f>1*(טבלה6[[#This Row],[sex]]=טבלה6[[#Headers],[male]])</f>
        <v>1</v>
      </c>
      <c r="D42" s="64">
        <v>21.180968564146099</v>
      </c>
    </row>
    <row r="43" spans="1:4" x14ac:dyDescent="0.25">
      <c r="A43" s="64">
        <v>21.1661825242021</v>
      </c>
      <c r="B43" s="64" t="s">
        <v>159</v>
      </c>
      <c r="C43" s="64">
        <f>1*(טבלה6[[#This Row],[sex]]=טבלה6[[#Headers],[male]])</f>
        <v>1</v>
      </c>
      <c r="D43" s="64">
        <v>22.175021240441801</v>
      </c>
    </row>
    <row r="44" spans="1:4" x14ac:dyDescent="0.25">
      <c r="A44" s="64">
        <v>19.403861572151602</v>
      </c>
      <c r="B44" s="64" t="s">
        <v>159</v>
      </c>
      <c r="C44" s="64">
        <f>1*(טבלה6[[#This Row],[sex]]=טבלה6[[#Headers],[male]])</f>
        <v>1</v>
      </c>
      <c r="D44" s="64">
        <v>34.180118946474003</v>
      </c>
    </row>
    <row r="45" spans="1:4" x14ac:dyDescent="0.25">
      <c r="A45" s="64">
        <v>20.937974918328901</v>
      </c>
      <c r="B45" s="64" t="s">
        <v>159</v>
      </c>
      <c r="C45" s="64">
        <f>1*(טבלה6[[#This Row],[sex]]=טבלה6[[#Headers],[male]])</f>
        <v>1</v>
      </c>
      <c r="D45" s="64">
        <v>38.309260832625299</v>
      </c>
    </row>
    <row r="46" spans="1:4" x14ac:dyDescent="0.25">
      <c r="A46" s="64">
        <v>22.3382510440724</v>
      </c>
      <c r="B46" s="64" t="s">
        <v>159</v>
      </c>
      <c r="C46" s="64">
        <f>1*(טבלה6[[#This Row],[sex]]=טבלה6[[#Headers],[male]])</f>
        <v>1</v>
      </c>
      <c r="D46" s="64">
        <v>39.379779099405198</v>
      </c>
    </row>
    <row r="47" spans="1:4" x14ac:dyDescent="0.25">
      <c r="A47" s="64">
        <v>21.890339488075401</v>
      </c>
      <c r="B47" s="64" t="s">
        <v>159</v>
      </c>
      <c r="C47" s="64">
        <f>1*(טבלה6[[#This Row],[sex]]=טבלה6[[#Headers],[male]])</f>
        <v>1</v>
      </c>
      <c r="D47" s="64">
        <v>41.138487680543697</v>
      </c>
    </row>
    <row r="48" spans="1:4" x14ac:dyDescent="0.25">
      <c r="A48" s="64">
        <v>22.076455119843899</v>
      </c>
      <c r="B48" s="64" t="s">
        <v>159</v>
      </c>
      <c r="C48" s="64">
        <f>1*(טבלה6[[#This Row],[sex]]=טבלה6[[#Headers],[male]])</f>
        <v>1</v>
      </c>
      <c r="D48" s="64">
        <v>43.279524214103603</v>
      </c>
    </row>
    <row r="49" spans="1:4" x14ac:dyDescent="0.25">
      <c r="A49" s="64">
        <v>21.548286105759399</v>
      </c>
      <c r="B49" s="64" t="s">
        <v>159</v>
      </c>
      <c r="C49" s="64">
        <f>1*(טבלה6[[#This Row],[sex]]=טבלה6[[#Headers],[male]])</f>
        <v>1</v>
      </c>
      <c r="D49" s="64">
        <v>43.279524214103603</v>
      </c>
    </row>
    <row r="50" spans="1:4" x14ac:dyDescent="0.25">
      <c r="A50" s="64">
        <v>22.000191463137298</v>
      </c>
      <c r="B50" s="64" t="s">
        <v>159</v>
      </c>
      <c r="C50" s="64">
        <f>1*(טבלה6[[#This Row],[sex]]=טבלה6[[#Headers],[male]])</f>
        <v>1</v>
      </c>
      <c r="D50" s="64">
        <v>48.326253186066197</v>
      </c>
    </row>
    <row r="51" spans="1:4" x14ac:dyDescent="0.25">
      <c r="A51" s="64">
        <v>21.287746658369901</v>
      </c>
      <c r="B51" s="64" t="s">
        <v>159</v>
      </c>
      <c r="C51" s="64">
        <f>1*(טבלה6[[#This Row],[sex]]=טבלה6[[#Headers],[male]])</f>
        <v>1</v>
      </c>
      <c r="D51" s="64">
        <v>49.320305862361899</v>
      </c>
    </row>
    <row r="52" spans="1:4" x14ac:dyDescent="0.25">
      <c r="A52" s="64">
        <v>22.2137925257577</v>
      </c>
      <c r="B52" s="64" t="s">
        <v>159</v>
      </c>
      <c r="C52" s="64">
        <f>1*(טבלה6[[#This Row],[sex]]=טבלה6[[#Headers],[male]])</f>
        <v>1</v>
      </c>
      <c r="D52" s="64">
        <v>52.302463891248898</v>
      </c>
    </row>
    <row r="53" spans="1:4" x14ac:dyDescent="0.25">
      <c r="A53" s="64">
        <v>20.6029667811456</v>
      </c>
      <c r="B53" s="64" t="s">
        <v>159</v>
      </c>
      <c r="C53" s="64">
        <f>1*(טבלה6[[#This Row],[sex]]=טבלה6[[#Headers],[male]])</f>
        <v>1</v>
      </c>
      <c r="D53" s="64">
        <v>52.455395072217499</v>
      </c>
    </row>
    <row r="54" spans="1:4" x14ac:dyDescent="0.25">
      <c r="A54" s="64">
        <v>19.679164622398702</v>
      </c>
      <c r="B54" s="64" t="s">
        <v>159</v>
      </c>
      <c r="C54" s="64">
        <f>1*(טבלה6[[#This Row],[sex]]=טבלה6[[#Headers],[male]])</f>
        <v>1</v>
      </c>
      <c r="D54" s="64">
        <v>53.2965165675446</v>
      </c>
    </row>
    <row r="55" spans="1:4" x14ac:dyDescent="0.25">
      <c r="A55" s="64">
        <v>16.852877032799999</v>
      </c>
      <c r="B55" s="64" t="s">
        <v>159</v>
      </c>
      <c r="C55" s="64">
        <f>1*(טבלה6[[#This Row],[sex]]=טבלה6[[#Headers],[male]])</f>
        <v>1</v>
      </c>
      <c r="D55" s="64">
        <v>52.302463891248898</v>
      </c>
    </row>
    <row r="56" spans="1:4" x14ac:dyDescent="0.25">
      <c r="A56" s="64">
        <v>20.155638589395299</v>
      </c>
      <c r="B56" s="64" t="s">
        <v>159</v>
      </c>
      <c r="C56" s="64">
        <f>1*(טבלה6[[#This Row],[sex]]=טבלה6[[#Headers],[male]])</f>
        <v>1</v>
      </c>
      <c r="D56" s="64">
        <v>55.208156329651601</v>
      </c>
    </row>
    <row r="57" spans="1:4" x14ac:dyDescent="0.25">
      <c r="A57" s="64">
        <v>21.028284191128002</v>
      </c>
      <c r="B57" s="64" t="s">
        <v>159</v>
      </c>
      <c r="C57" s="64">
        <f>1*(טבלה6[[#This Row],[sex]]=טבלה6[[#Headers],[male]])</f>
        <v>1</v>
      </c>
      <c r="D57" s="64">
        <v>57.196261682242898</v>
      </c>
    </row>
    <row r="58" spans="1:4" x14ac:dyDescent="0.25">
      <c r="A58" s="64">
        <v>17.596397202244798</v>
      </c>
      <c r="B58" s="64" t="s">
        <v>159</v>
      </c>
      <c r="C58" s="64">
        <f>1*(טבלה6[[#This Row],[sex]]=טבלה6[[#Headers],[male]])</f>
        <v>1</v>
      </c>
      <c r="D58" s="64">
        <v>59.260832625318599</v>
      </c>
    </row>
    <row r="59" spans="1:4" x14ac:dyDescent="0.25">
      <c r="A59" s="64">
        <v>21.109887874400101</v>
      </c>
      <c r="B59" s="64" t="s">
        <v>159</v>
      </c>
      <c r="C59" s="64">
        <f>1*(טבלה6[[#This Row],[sex]]=טבלה6[[#Headers],[male]])</f>
        <v>1</v>
      </c>
      <c r="D59" s="64">
        <v>61.248937977909897</v>
      </c>
    </row>
    <row r="60" spans="1:4" x14ac:dyDescent="0.25">
      <c r="A60" s="64">
        <v>21.560088013210901</v>
      </c>
      <c r="B60" s="64" t="s">
        <v>159</v>
      </c>
      <c r="C60" s="64">
        <f>1*(טבלה6[[#This Row],[sex]]=טבלה6[[#Headers],[male]])</f>
        <v>1</v>
      </c>
      <c r="D60" s="64">
        <v>63.389974511469802</v>
      </c>
    </row>
    <row r="61" spans="1:4" x14ac:dyDescent="0.25">
      <c r="A61" s="64">
        <v>20.8775518446276</v>
      </c>
      <c r="B61" s="64" t="s">
        <v>159</v>
      </c>
      <c r="C61" s="64">
        <f>1*(טבלה6[[#This Row],[sex]]=טבלה6[[#Headers],[male]])</f>
        <v>1</v>
      </c>
      <c r="D61" s="64">
        <v>70.348343245539496</v>
      </c>
    </row>
    <row r="62" spans="1:4" x14ac:dyDescent="0.25">
      <c r="A62" s="64">
        <v>20.591142436607701</v>
      </c>
      <c r="B62" s="64" t="s">
        <v>159</v>
      </c>
      <c r="C62" s="64">
        <f>1*(טבלה6[[#This Row],[sex]]=טבלה6[[#Headers],[male]])</f>
        <v>1</v>
      </c>
      <c r="D62" s="64">
        <v>77.306711979609105</v>
      </c>
    </row>
    <row r="63" spans="1:4" x14ac:dyDescent="0.25">
      <c r="A63" s="64">
        <v>20.1428270130553</v>
      </c>
      <c r="B63" s="64" t="s">
        <v>159</v>
      </c>
      <c r="C63" s="64">
        <f>1*(טבלה6[[#This Row],[sex]]=טבלה6[[#Headers],[male]])</f>
        <v>1</v>
      </c>
      <c r="D63" s="64">
        <v>78.377230246389104</v>
      </c>
    </row>
    <row r="64" spans="1:4" x14ac:dyDescent="0.25">
      <c r="A64" s="64">
        <v>20.780130015436701</v>
      </c>
      <c r="B64" s="64" t="s">
        <v>159</v>
      </c>
      <c r="C64" s="64">
        <f>1*(טבלה6[[#This Row],[sex]]=טבלה6[[#Headers],[male]])</f>
        <v>1</v>
      </c>
      <c r="D64" s="64">
        <v>84.341546304163103</v>
      </c>
    </row>
    <row r="65" spans="1:4" x14ac:dyDescent="0.25">
      <c r="A65" s="64">
        <v>23.118029545155299</v>
      </c>
      <c r="B65" s="64" t="s">
        <v>158</v>
      </c>
      <c r="C65" s="64">
        <f>1*(טבלה6[[#This Row],[sex]]=טבלה6[[#Headers],[male]])</f>
        <v>0</v>
      </c>
      <c r="D65" s="64">
        <v>18.122344944774799</v>
      </c>
    </row>
    <row r="66" spans="1:4" x14ac:dyDescent="0.25">
      <c r="A66" s="64">
        <v>21.883877607189401</v>
      </c>
      <c r="B66" s="64" t="s">
        <v>158</v>
      </c>
      <c r="C66" s="64">
        <f>1*(טבלה6[[#This Row],[sex]]=טבלה6[[#Headers],[male]])</f>
        <v>0</v>
      </c>
      <c r="D66" s="64">
        <v>30.127442650807101</v>
      </c>
    </row>
    <row r="67" spans="1:4" x14ac:dyDescent="0.25">
      <c r="A67" s="64">
        <v>20.459032871827301</v>
      </c>
      <c r="B67" s="64" t="s">
        <v>158</v>
      </c>
      <c r="C67" s="64">
        <f>1*(טבלה6[[#This Row],[sex]]=טבלה6[[#Headers],[male]])</f>
        <v>0</v>
      </c>
      <c r="D67" s="64">
        <v>32.192013593882699</v>
      </c>
    </row>
    <row r="68" spans="1:4" x14ac:dyDescent="0.25">
      <c r="A68" s="64">
        <v>20.407966063158799</v>
      </c>
      <c r="B68" s="64" t="s">
        <v>158</v>
      </c>
      <c r="C68" s="64">
        <f>1*(טבלה6[[#This Row],[sex]]=טבלה6[[#Headers],[male]])</f>
        <v>0</v>
      </c>
      <c r="D68" s="64">
        <v>35.174171622769698</v>
      </c>
    </row>
    <row r="69" spans="1:4" x14ac:dyDescent="0.25">
      <c r="A69" s="64">
        <v>17.663237282659399</v>
      </c>
      <c r="B69" s="64" t="s">
        <v>158</v>
      </c>
      <c r="C69" s="64">
        <f>1*(טבלה6[[#This Row],[sex]]=טבלה6[[#Headers],[male]])</f>
        <v>0</v>
      </c>
      <c r="D69" s="64">
        <v>38.156329651656698</v>
      </c>
    </row>
    <row r="70" spans="1:4" x14ac:dyDescent="0.25">
      <c r="A70" s="64">
        <v>14.523593344262601</v>
      </c>
      <c r="B70" s="64" t="s">
        <v>158</v>
      </c>
      <c r="C70" s="64">
        <f>1*(טבלה6[[#This Row],[sex]]=טבלה6[[#Headers],[male]])</f>
        <v>0</v>
      </c>
      <c r="D70" s="64">
        <v>43.203058623619299</v>
      </c>
    </row>
    <row r="71" spans="1:4" x14ac:dyDescent="0.25">
      <c r="A71" s="64">
        <v>15.5030843514784</v>
      </c>
      <c r="B71" s="64" t="s">
        <v>158</v>
      </c>
      <c r="C71" s="64">
        <f>1*(טבלה6[[#This Row],[sex]]=טבלה6[[#Headers],[male]])</f>
        <v>0</v>
      </c>
      <c r="D71" s="64">
        <v>47.255734919286297</v>
      </c>
    </row>
    <row r="72" spans="1:4" x14ac:dyDescent="0.25">
      <c r="A72" s="64">
        <v>22.6585180154845</v>
      </c>
      <c r="B72" s="64" t="s">
        <v>158</v>
      </c>
      <c r="C72" s="64">
        <f>1*(טבלה6[[#This Row],[sex]]=טבלה6[[#Headers],[male]])</f>
        <v>0</v>
      </c>
      <c r="D72" s="64">
        <v>45.114698385726399</v>
      </c>
    </row>
    <row r="73" spans="1:4" x14ac:dyDescent="0.25">
      <c r="A73" s="64">
        <v>27.4613109840008</v>
      </c>
      <c r="B73" s="64" t="s">
        <v>158</v>
      </c>
      <c r="C73" s="64">
        <f>1*(טבלה6[[#This Row],[sex]]=טבלה6[[#Headers],[male]])</f>
        <v>0</v>
      </c>
      <c r="D73" s="64">
        <v>39.073916737468103</v>
      </c>
    </row>
    <row r="74" spans="1:4" x14ac:dyDescent="0.25">
      <c r="A74" s="64">
        <v>23.1122183397752</v>
      </c>
      <c r="B74" s="64" t="s">
        <v>158</v>
      </c>
      <c r="C74" s="64">
        <f>1*(טבלה6[[#This Row],[sex]]=טבלה6[[#Headers],[male]])</f>
        <v>0</v>
      </c>
      <c r="D74" s="64">
        <v>53.220050977060303</v>
      </c>
    </row>
    <row r="75" spans="1:4" x14ac:dyDescent="0.25">
      <c r="A75" s="64">
        <v>21.3423136525183</v>
      </c>
      <c r="B75" s="64" t="s">
        <v>158</v>
      </c>
      <c r="C75" s="64">
        <f>1*(טבלה6[[#This Row],[sex]]=טבלה6[[#Headers],[male]])</f>
        <v>0</v>
      </c>
      <c r="D75" s="64">
        <v>52.302463891248898</v>
      </c>
    </row>
    <row r="76" spans="1:4" x14ac:dyDescent="0.25">
      <c r="A76" s="64">
        <v>22.322343149807899</v>
      </c>
      <c r="B76" s="64" t="s">
        <v>158</v>
      </c>
      <c r="C76" s="64">
        <f>1*(טבלה6[[#This Row],[sex]]=טבלה6[[#Headers],[male]])</f>
        <v>0</v>
      </c>
      <c r="D76" s="64">
        <v>57.272727272727202</v>
      </c>
    </row>
    <row r="77" spans="1:4" x14ac:dyDescent="0.25">
      <c r="A77" s="64">
        <v>25.864082113753</v>
      </c>
      <c r="B77" s="64" t="s">
        <v>158</v>
      </c>
      <c r="C77" s="64">
        <f>1*(טבלה6[[#This Row],[sex]]=טבלה6[[#Headers],[male]])</f>
        <v>0</v>
      </c>
      <c r="D77" s="64">
        <v>62.3959218351741</v>
      </c>
    </row>
    <row r="78" spans="1:4" x14ac:dyDescent="0.25">
      <c r="A78" s="64">
        <v>22.643372982157999</v>
      </c>
      <c r="B78" s="64" t="s">
        <v>158</v>
      </c>
      <c r="C78" s="64">
        <f>1*(טבלה6[[#This Row],[sex]]=טבלה6[[#Headers],[male]])</f>
        <v>0</v>
      </c>
      <c r="D78" s="64">
        <v>64.307561597281193</v>
      </c>
    </row>
    <row r="79" spans="1:4" x14ac:dyDescent="0.25">
      <c r="A79" s="64">
        <v>22.9637745760886</v>
      </c>
      <c r="B79" s="64" t="s">
        <v>158</v>
      </c>
      <c r="C79" s="64">
        <f>1*(טבלה6[[#This Row],[sex]]=טבלה6[[#Headers],[male]])</f>
        <v>0</v>
      </c>
      <c r="D79" s="64">
        <v>70.271877655055206</v>
      </c>
    </row>
    <row r="80" spans="1:4" x14ac:dyDescent="0.25">
      <c r="A80" s="64">
        <v>22.277738222025398</v>
      </c>
      <c r="B80" s="64" t="s">
        <v>158</v>
      </c>
      <c r="C80" s="64">
        <f>1*(טבלה6[[#This Row],[sex]]=טבלה6[[#Headers],[male]])</f>
        <v>0</v>
      </c>
      <c r="D80" s="64">
        <v>71.265930331350802</v>
      </c>
    </row>
    <row r="81" spans="1:4" x14ac:dyDescent="0.25">
      <c r="A81" s="64">
        <v>21.459659614441001</v>
      </c>
      <c r="B81" s="64" t="s">
        <v>158</v>
      </c>
      <c r="C81" s="64">
        <f>1*(טבלה6[[#This Row],[sex]]=טבלה6[[#Headers],[male]])</f>
        <v>0</v>
      </c>
      <c r="D81" s="64">
        <v>72.259983007646497</v>
      </c>
    </row>
    <row r="82" spans="1:4" x14ac:dyDescent="0.25">
      <c r="A82" s="64">
        <v>20.563522383237299</v>
      </c>
      <c r="B82" s="64" t="s">
        <v>158</v>
      </c>
      <c r="C82" s="64">
        <f>1*(טבלה6[[#This Row],[sex]]=טבלה6[[#Headers],[male]])</f>
        <v>0</v>
      </c>
      <c r="D82" s="64">
        <v>75.242141036533496</v>
      </c>
    </row>
    <row r="83" spans="1:4" x14ac:dyDescent="0.25">
      <c r="A83" s="64">
        <v>16.224369368291299</v>
      </c>
      <c r="B83" s="64" t="s">
        <v>158</v>
      </c>
      <c r="C83" s="64">
        <f>1*(טבלה6[[#This Row],[sex]]=טבלה6[[#Headers],[male]])</f>
        <v>0</v>
      </c>
      <c r="D83" s="64">
        <v>61.325403568394201</v>
      </c>
    </row>
    <row r="84" spans="1:4" x14ac:dyDescent="0.25">
      <c r="A84" s="64">
        <v>16.1492275659051</v>
      </c>
      <c r="B84" s="64" t="s">
        <v>158</v>
      </c>
      <c r="C84" s="64">
        <f>1*(טבלה6[[#This Row],[sex]]=טבלה6[[#Headers],[male]])</f>
        <v>0</v>
      </c>
      <c r="D84" s="64">
        <v>68.283772302463802</v>
      </c>
    </row>
    <row r="85" spans="1:4" x14ac:dyDescent="0.25">
      <c r="A85" s="64">
        <v>15.8347044886139</v>
      </c>
      <c r="B85" s="64" t="s">
        <v>158</v>
      </c>
      <c r="C85" s="64">
        <f>1*(טבלה6[[#This Row],[sex]]=טבלה6[[#Headers],[male]])</f>
        <v>0</v>
      </c>
      <c r="D85" s="64">
        <v>72.336448598130801</v>
      </c>
    </row>
    <row r="86" spans="1:4" x14ac:dyDescent="0.25">
      <c r="A86" s="64">
        <v>20.2250140605741</v>
      </c>
      <c r="B86" s="64" t="s">
        <v>158</v>
      </c>
      <c r="C86" s="64">
        <f>1*(טבלה6[[#This Row],[sex]]=טבלה6[[#Headers],[male]])</f>
        <v>0</v>
      </c>
      <c r="D86" s="64">
        <v>83.423959218351698</v>
      </c>
    </row>
    <row r="87" spans="1:4" x14ac:dyDescent="0.25">
      <c r="A87" s="64">
        <v>22.629304928979099</v>
      </c>
      <c r="B87" s="64" t="s">
        <v>158</v>
      </c>
      <c r="C87" s="64">
        <f>1*(טבלה6[[#This Row],[sex]]=טבלה6[[#Headers],[male]])</f>
        <v>0</v>
      </c>
      <c r="D87" s="64">
        <v>85.335598980458798</v>
      </c>
    </row>
    <row r="88" spans="1:4" x14ac:dyDescent="0.25">
      <c r="A88" s="64">
        <v>24.455571577297199</v>
      </c>
      <c r="B88" s="64" t="s">
        <v>158</v>
      </c>
      <c r="C88" s="64">
        <f>1*(טבלה6[[#This Row],[sex]]=טבלה6[[#Headers],[male]])</f>
        <v>0</v>
      </c>
      <c r="D88" s="64">
        <v>92.293967714528407</v>
      </c>
    </row>
    <row r="89" spans="1:4" x14ac:dyDescent="0.25">
      <c r="A89" s="64">
        <v>23.1621857312096</v>
      </c>
      <c r="B89" s="64" t="s">
        <v>158</v>
      </c>
      <c r="C89" s="64">
        <f>1*(טבלה6[[#This Row],[sex]]=טבלה6[[#Headers],[male]])</f>
        <v>0</v>
      </c>
      <c r="D89" s="64">
        <v>93.364485981308405</v>
      </c>
    </row>
    <row r="90" spans="1:4" x14ac:dyDescent="0.25">
      <c r="A90" s="64">
        <v>21.760787751145699</v>
      </c>
      <c r="B90" s="64" t="s">
        <v>158</v>
      </c>
      <c r="C90" s="64">
        <f>1*(טבלה6[[#This Row],[sex]]=טבלה6[[#Headers],[male]])</f>
        <v>0</v>
      </c>
      <c r="D90" s="64">
        <v>90.382327952421406</v>
      </c>
    </row>
    <row r="91" spans="1:4" x14ac:dyDescent="0.25">
      <c r="A91" s="64">
        <v>20.281286273289599</v>
      </c>
      <c r="B91" s="64" t="s">
        <v>158</v>
      </c>
      <c r="C91" s="64">
        <f>1*(טבלה6[[#This Row],[sex]]=טבלה6[[#Headers],[male]])</f>
        <v>0</v>
      </c>
      <c r="D91" s="64">
        <v>89.311809685641407</v>
      </c>
    </row>
    <row r="92" spans="1:4" x14ac:dyDescent="0.25">
      <c r="A92" s="64">
        <v>16.975563021288298</v>
      </c>
      <c r="B92" s="64" t="s">
        <v>158</v>
      </c>
      <c r="C92" s="64">
        <f>1*(טבלה6[[#This Row],[sex]]=טבלה6[[#Headers],[male]])</f>
        <v>0</v>
      </c>
      <c r="D92" s="64">
        <v>81.359388275276103</v>
      </c>
    </row>
    <row r="93" spans="1:4" x14ac:dyDescent="0.25">
      <c r="A93" s="64">
        <v>15.364064164083899</v>
      </c>
      <c r="B93" s="64" t="s">
        <v>158</v>
      </c>
      <c r="C93" s="64">
        <f>1*(טבלה6[[#This Row],[sex]]=טבלה6[[#Headers],[male]])</f>
        <v>0</v>
      </c>
      <c r="D93" s="64">
        <v>80.365335598980394</v>
      </c>
    </row>
    <row r="94" spans="1:4" x14ac:dyDescent="0.25">
      <c r="A94" s="64">
        <v>15.9244752713391</v>
      </c>
      <c r="B94" s="64" t="s">
        <v>158</v>
      </c>
      <c r="C94" s="64">
        <f>1*(טבלה6[[#This Row],[sex]]=טבלה6[[#Headers],[male]])</f>
        <v>0</v>
      </c>
      <c r="D94" s="64">
        <v>90.305862361937102</v>
      </c>
    </row>
    <row r="95" spans="1:4" x14ac:dyDescent="0.25">
      <c r="A95" s="64">
        <v>14.6040527361278</v>
      </c>
      <c r="B95" s="64" t="s">
        <v>158</v>
      </c>
      <c r="C95" s="64">
        <f>1*(טבלה6[[#This Row],[sex]]=טבלה6[[#Headers],[male]])</f>
        <v>0</v>
      </c>
      <c r="D95" s="64">
        <v>90.305862361937102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A2" sqref="A2"/>
    </sheetView>
  </sheetViews>
  <sheetFormatPr defaultRowHeight="15" x14ac:dyDescent="0.25"/>
  <cols>
    <col min="1" max="2" width="14.28515625" customWidth="1"/>
    <col min="3" max="3" width="15.140625" customWidth="1"/>
    <col min="4" max="4" width="12.5703125" customWidth="1"/>
    <col min="5" max="5" width="11.5703125" customWidth="1"/>
    <col min="6" max="6" width="17.85546875" customWidth="1"/>
    <col min="8" max="8" width="11.7109375" customWidth="1"/>
    <col min="9" max="9" width="12" customWidth="1"/>
    <col min="10" max="10" width="12.5703125" customWidth="1"/>
  </cols>
  <sheetData>
    <row r="1" spans="1:15" ht="51" x14ac:dyDescent="0.25">
      <c r="A1" s="18" t="s">
        <v>14</v>
      </c>
      <c r="B1" s="18" t="s">
        <v>74</v>
      </c>
      <c r="C1" s="19" t="s">
        <v>2</v>
      </c>
      <c r="D1" s="19" t="s">
        <v>27</v>
      </c>
      <c r="E1" s="19" t="s">
        <v>3</v>
      </c>
      <c r="F1" s="19" t="s">
        <v>28</v>
      </c>
      <c r="G1" s="19" t="s">
        <v>4</v>
      </c>
      <c r="H1" s="19" t="s">
        <v>29</v>
      </c>
      <c r="I1" s="19" t="s">
        <v>5</v>
      </c>
      <c r="J1" s="19" t="s">
        <v>30</v>
      </c>
      <c r="K1" s="19" t="s">
        <v>0</v>
      </c>
      <c r="N1" t="s">
        <v>86</v>
      </c>
      <c r="O1" t="s">
        <v>0</v>
      </c>
    </row>
    <row r="2" spans="1:15" x14ac:dyDescent="0.25">
      <c r="A2" s="28" t="s">
        <v>31</v>
      </c>
      <c r="B2" s="48" t="s">
        <v>40</v>
      </c>
      <c r="C2" s="36">
        <f>AVERAGE(INDEX(Az_summ[Mass (g)],MATCH(summ[[#This Row],[brain part]],Az_summ[brain part],0)),INDEX(AM_summ[Mass (g)],MATCH(summ[[#This Row],[brain part]],AM_summ[brain part],0)))</f>
        <v>605.33094231399537</v>
      </c>
      <c r="D2" s="36">
        <f>STDEV(INDEX(Az_summ[Mass (g)],MATCH(summ[[#This Row],[brain part]],Az_summ[brain part],0)),INDEX(AM_summ[Mass (g)],MATCH(summ[[#This Row],[brain part]],AM_summ[brain part],0)))</f>
        <v>50.092777012487332</v>
      </c>
      <c r="E2" s="21">
        <f>C2/SUM(summ[Mass (g)])</f>
        <v>0.43234527452414134</v>
      </c>
      <c r="F2" s="21">
        <f>summ[[#This Row],[Delta mass(g)]]/SUM(summ[Mass (g)])</f>
        <v>3.5777743900470206E-2</v>
      </c>
      <c r="G2" s="36">
        <f>AVERAGE(INDEX(Az_summ[Absolute neuronal number (billion)],MATCH(summ[[#This Row],[brain part]],Az_summ[brain part],0)),INDEX(AM_summ[Absolute neuronal number (billion)],MATCH(summ[[#This Row],[brain part]],AM_summ[brain part],0)))</f>
        <v>12.632333333333332</v>
      </c>
      <c r="H2" s="36">
        <f>STDEV(INDEX(Az_summ[Absolute neuronal number (billion)],MATCH(summ[[#This Row],[brain part]],Az_summ[brain part],0)),INDEX(AM_summ[Absolute neuronal number (billion)],MATCH(summ[[#This Row],[brain part]],AM_summ[brain part],0)))</f>
        <v>1.1912392240389358</v>
      </c>
      <c r="I2" s="36">
        <f>AVERAGE(INDEX(Az_summ[Absolute non-neuronal number (billion)],MATCH(summ[[#This Row],[brain part]],Az_summ[brain part],0)),INDEX(AM_summ[Absolute non-neuronal number (billion)],MATCH(summ[[#This Row],[brain part]],AM_summ[brain part],0)))</f>
        <v>18.967762237762237</v>
      </c>
      <c r="J2" s="36">
        <f>STDEV(INDEX(Az_summ[Absolute non-neuronal number (billion)],MATCH(summ[[#This Row],[brain part]],Az_summ[brain part],0)),INDEX(AM_summ[Absolute non-neuronal number (billion)],MATCH(summ[[#This Row],[brain part]],AM_summ[brain part],0)))</f>
        <v>0.62541864115017276</v>
      </c>
      <c r="K2" s="30" t="s">
        <v>88</v>
      </c>
      <c r="N2" t="s">
        <v>84</v>
      </c>
      <c r="O2" t="s">
        <v>26</v>
      </c>
    </row>
    <row r="3" spans="1:15" x14ac:dyDescent="0.25">
      <c r="A3" s="29" t="s">
        <v>117</v>
      </c>
      <c r="B3" s="48" t="s">
        <v>42</v>
      </c>
      <c r="C3" s="36">
        <f>AVERAGE(INDEX(Az_summ[Mass (g)],MATCH(summ[[#This Row],[brain part]],Az_summ[brain part],0)),INDEX(AM_summ[Mass (g)],MATCH(summ[[#This Row],[brain part]],AM_summ[brain part],0)))</f>
        <v>545.71405768600448</v>
      </c>
      <c r="D3" s="36">
        <f>STDEV(INDEX(Az_summ[Mass (g)],MATCH(summ[[#This Row],[brain part]],Az_summ[brain part],0)),INDEX(AM_summ[Mass (g)],MATCH(summ[[#This Row],[brain part]],AM_summ[brain part],0)))</f>
        <v>71.8902138100039</v>
      </c>
      <c r="E3" s="21">
        <f>C3/SUM(summ[Mass (g)])</f>
        <v>0.38976513108684646</v>
      </c>
      <c r="F3" s="21">
        <f>summ[[#This Row],[Delta mass(g)]]/SUM(summ[Mass (g)])</f>
        <v>5.1346118383558376E-2</v>
      </c>
      <c r="G3" s="36">
        <f>AVERAGE(INDEX(Az_summ[Absolute neuronal number (billion)],MATCH(summ[[#This Row],[brain part]],Az_summ[brain part],0)),INDEX(AM_summ[Absolute neuronal number (billion)],MATCH(summ[[#This Row],[brain part]],AM_summ[brain part],0)))</f>
        <v>1.8876666666666666</v>
      </c>
      <c r="H3" s="36">
        <f>STDEV(INDEX(Az_summ[Absolute neuronal number (billion)],MATCH(summ[[#This Row],[brain part]],Az_summ[brain part],0)),INDEX(AM_summ[Absolute neuronal number (billion)],MATCH(summ[[#This Row],[brain part]],AM_summ[brain part],0)))</f>
        <v>1.3260609169851716</v>
      </c>
      <c r="I3" s="36">
        <f>AVERAGE(INDEX(Az_summ[Absolute non-neuronal number (billion)],MATCH(summ[[#This Row],[brain part]],Az_summ[brain part],0)),INDEX(AM_summ[Absolute non-neuronal number (billion)],MATCH(summ[[#This Row],[brain part]],AM_summ[brain part],0)))</f>
        <v>38.94223776223776</v>
      </c>
      <c r="J3" s="42">
        <f>STDEV(INDEX(Az_summ[Absolute non-neuronal number (billion)],MATCH(summ[[#This Row],[brain part]],Az_summ[brain part],0)),INDEX(AM_summ[Absolute non-neuronal number (billion)],MATCH(summ[[#This Row],[brain part]],AM_summ[brain part],0)))</f>
        <v>4.8539171926457252</v>
      </c>
      <c r="K3" s="30" t="s">
        <v>88</v>
      </c>
      <c r="N3" t="s">
        <v>85</v>
      </c>
      <c r="O3" t="s">
        <v>16</v>
      </c>
    </row>
    <row r="4" spans="1:15" x14ac:dyDescent="0.25">
      <c r="A4" s="28" t="s">
        <v>13</v>
      </c>
      <c r="B4" s="27" t="s">
        <v>40</v>
      </c>
      <c r="C4" s="36">
        <f>AVERAGE(INDEX(Az_summ[Mass (g)],MATCH(summ[[#This Row],[brain part]],Az_summ[brain part],0)),INDEX(AM_summ[Mass (g)],MATCH(summ[[#This Row],[brain part]],AM_summ[brain part],0)))</f>
        <v>129.53</v>
      </c>
      <c r="D4" s="38">
        <f>STDEV(INDEX(Az_summ[Mass (g)],MATCH(summ[[#This Row],[brain part]],Az_summ[brain part],0)),INDEX(AM_summ[Mass (g)],MATCH(summ[[#This Row],[brain part]],AM_summ[brain part],0)))</f>
        <v>34.605805871269681</v>
      </c>
      <c r="E4" s="21">
        <f>C4/SUM(summ[Mass (g)])</f>
        <v>9.2514159601745596E-2</v>
      </c>
      <c r="F4" s="16">
        <f>summ[[#This Row],[Delta mass(g)]]/SUM(summ[Mass (g)])</f>
        <v>2.4716490755204726E-2</v>
      </c>
      <c r="G4" s="36">
        <f>AVERAGE(INDEX(Az_summ[Absolute neuronal number (billion)],MATCH(summ[[#This Row],[brain part]],Az_summ[brain part],0)),INDEX(AM_summ[Absolute neuronal number (billion)],MATCH(summ[[#This Row],[brain part]],AM_summ[brain part],0)))</f>
        <v>61.35</v>
      </c>
      <c r="H4" s="38">
        <f>STDEV(INDEX(Az_summ[Absolute neuronal number (billion)],MATCH(summ[[#This Row],[brain part]],Az_summ[brain part],0)),INDEX(AM_summ[Absolute neuronal number (billion)],MATCH(summ[[#This Row],[brain part]],AM_summ[brain part],0)))</f>
        <v>10.818733752154181</v>
      </c>
      <c r="I4" s="36">
        <f>AVERAGE(INDEX(Az_summ[Absolute non-neuronal number (billion)],MATCH(summ[[#This Row],[brain part]],Az_summ[brain part],0)),INDEX(AM_summ[Absolute non-neuronal number (billion)],MATCH(summ[[#This Row],[brain part]],AM_summ[brain part],0)))</f>
        <v>15.77</v>
      </c>
      <c r="J4" s="42">
        <f>STDEV(INDEX(Az_summ[Absolute non-neuronal number (billion)],MATCH(summ[[#This Row],[brain part]],Az_summ[brain part],0)),INDEX(AM_summ[Absolute non-neuronal number (billion)],MATCH(summ[[#This Row],[brain part]],AM_summ[brain part],0)))</f>
        <v>0.32526911934581249</v>
      </c>
      <c r="K4" s="30" t="s">
        <v>88</v>
      </c>
      <c r="N4" t="s">
        <v>87</v>
      </c>
      <c r="O4" t="s">
        <v>44</v>
      </c>
    </row>
    <row r="5" spans="1:15" x14ac:dyDescent="0.25">
      <c r="A5" s="27" t="s">
        <v>89</v>
      </c>
      <c r="B5" s="27" t="s">
        <v>90</v>
      </c>
      <c r="C5" s="36">
        <v>30</v>
      </c>
      <c r="D5" s="38"/>
      <c r="E5" s="21">
        <f>C5/SUM(summ[Mass (g)])</f>
        <v>2.1426887887380282E-2</v>
      </c>
      <c r="F5" s="16">
        <f>summ[[#This Row],[Delta mass(g)]]/SUM(summ[Mass (g)])</f>
        <v>0</v>
      </c>
      <c r="G5" s="36">
        <v>0.10299999999999999</v>
      </c>
      <c r="H5" s="50">
        <v>3.0000000000000001E-3</v>
      </c>
      <c r="I5" s="36">
        <v>0.39500000000000002</v>
      </c>
      <c r="J5" s="51">
        <v>1.4999999999999999E-2</v>
      </c>
      <c r="K5" s="30" t="s">
        <v>87</v>
      </c>
      <c r="N5" t="s">
        <v>108</v>
      </c>
      <c r="O5" s="1" t="s">
        <v>99</v>
      </c>
    </row>
    <row r="6" spans="1:15" x14ac:dyDescent="0.25">
      <c r="A6" s="27" t="s">
        <v>107</v>
      </c>
      <c r="B6" s="27" t="s">
        <v>90</v>
      </c>
      <c r="C6" s="36">
        <f>Hippocampus_data[[#Totals],[volume (cm^3)]]</f>
        <v>3.27</v>
      </c>
      <c r="D6" s="38">
        <f>Hippocampus_data[[#Totals],[volume delta (cm^3)]]</f>
        <v>2.4465894629054548</v>
      </c>
      <c r="E6" s="21">
        <f>C6/SUM(summ[Mass (g)])</f>
        <v>2.335530779724451E-3</v>
      </c>
      <c r="F6" s="16">
        <f>summ[[#This Row],[Delta mass(g)]]/SUM(summ[Mass (g)])</f>
        <v>1.7474266042707041E-3</v>
      </c>
      <c r="G6" s="35">
        <f>Hippocampus_data[[#Totals],[numebr of neurons (millions)]]/1000</f>
        <v>4.1750000000000002E-2</v>
      </c>
      <c r="H6" s="35">
        <f>Hippocampus_data[[#Totals],[delta num (millions)]]/1000</f>
        <v>9.5459415460183925E-3</v>
      </c>
      <c r="I6" s="36">
        <f>summ[[#This Row],[Absolute neuronal number (billion)]]/Hippocampus!D9</f>
        <v>0.22112037037037036</v>
      </c>
      <c r="J6" s="35">
        <f>summ[[#This Row],[Absolute non-neuronal number (billion)]]*Hippocampus!D10/Hippocampus!D9</f>
        <v>4.6318449585899216E-2</v>
      </c>
      <c r="K6" s="30" t="s">
        <v>110</v>
      </c>
      <c r="N6" t="s">
        <v>109</v>
      </c>
      <c r="O6" s="1" t="s">
        <v>98</v>
      </c>
    </row>
    <row r="7" spans="1:15" x14ac:dyDescent="0.25">
      <c r="A7" s="27" t="s">
        <v>21</v>
      </c>
      <c r="B7" s="27" t="s">
        <v>42</v>
      </c>
      <c r="C7" s="36">
        <f>AVERAGE(INDEX(Az_summ[Mass (g)],MATCH(summ[[#This Row],[brain part]],Az_summ[brain part],0)),INDEX(AM_summ[Mass (g)],MATCH(summ[[#This Row],[brain part]],AM_summ[brain part],0)))-SUM(C5:C6)</f>
        <v>86.264999999999986</v>
      </c>
      <c r="D7" s="38">
        <f>STDEV(INDEX(Az_summ[Mass (g)],MATCH(summ[[#This Row],[brain part]],Az_summ[brain part],0)),INDEX(AM_summ[Mass (g)],MATCH(summ[[#This Row],[brain part]],AM_summ[brain part],0)))</f>
        <v>2.5950818869546306</v>
      </c>
      <c r="E7" s="21">
        <f>C7/SUM(summ[Mass (g)])</f>
        <v>6.1613016120161991E-2</v>
      </c>
      <c r="F7" s="39">
        <f>summ[[#This Row],[Delta mass(g)]]/SUM(summ[Mass (g)])</f>
        <v>1.8534842883449381E-3</v>
      </c>
      <c r="G7" s="36">
        <f>AVERAGE(INDEX(Az_summ[Absolute neuronal number (billion)],MATCH(summ[[#This Row],[brain part]],Az_summ[brain part],0)),INDEX(AM_summ[Absolute neuronal number (billion)],MATCH(summ[[#This Row],[brain part]],AM_summ[brain part],0)))-SUM(G5:G6)</f>
        <v>0.64024999999999999</v>
      </c>
      <c r="H7" s="38">
        <f>STDEV(INDEX(Az_summ[Absolute neuronal number (billion)],MATCH(summ[[#This Row],[brain part]],Az_summ[brain part],0)),INDEX(AM_summ[Absolute neuronal number (billion)],MATCH(summ[[#This Row],[brain part]],AM_summ[brain part],0)))</f>
        <v>0.12020815280171339</v>
      </c>
      <c r="I7" s="36">
        <f>AVERAGE(INDEX(Az_summ[Absolute non-neuronal number (billion)],MATCH(summ[[#This Row],[brain part]],Az_summ[brain part],0)),INDEX(AM_summ[Absolute non-neuronal number (billion)],MATCH(summ[[#This Row],[brain part]],AM_summ[brain part],0)))-SUM(I5:I6)</f>
        <v>7.288879629629629</v>
      </c>
      <c r="J7" s="42">
        <f>STDEV(INDEX(Az_summ[Absolute non-neuronal number (billion)],MATCH(summ[[#This Row],[brain part]],Az_summ[brain part],0)),INDEX(AM_summ[Absolute non-neuronal number (billion)],MATCH(summ[[#This Row],[brain part]],AM_summ[brain part],0)))</f>
        <v>0.28991378028648396</v>
      </c>
      <c r="K7" s="30" t="s">
        <v>88</v>
      </c>
    </row>
    <row r="17" spans="2:2" x14ac:dyDescent="0.25">
      <c r="B17" s="29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zoomScaleNormal="100" workbookViewId="0">
      <selection activeCell="H13" sqref="H13"/>
    </sheetView>
  </sheetViews>
  <sheetFormatPr defaultRowHeight="15" x14ac:dyDescent="0.25"/>
  <cols>
    <col min="1" max="1" width="13.5703125" customWidth="1"/>
    <col min="2" max="2" width="10.5703125" customWidth="1"/>
    <col min="3" max="3" width="12" customWidth="1"/>
    <col min="4" max="4" width="17.28515625" customWidth="1"/>
    <col min="5" max="5" width="11.5703125" customWidth="1"/>
    <col min="6" max="6" width="11" customWidth="1"/>
    <col min="25" max="25" width="12.7109375" customWidth="1"/>
  </cols>
  <sheetData>
    <row r="1" spans="1:33" x14ac:dyDescent="0.25">
      <c r="A1" t="s">
        <v>132</v>
      </c>
      <c r="B1" t="s">
        <v>127</v>
      </c>
      <c r="C1" t="s">
        <v>130</v>
      </c>
      <c r="D1" t="s">
        <v>124</v>
      </c>
      <c r="E1" t="s">
        <v>131</v>
      </c>
      <c r="F1" t="s">
        <v>156</v>
      </c>
      <c r="G1" t="s">
        <v>155</v>
      </c>
      <c r="I1" s="3" t="s">
        <v>154</v>
      </c>
      <c r="L1" s="3" t="s">
        <v>153</v>
      </c>
      <c r="AG1" s="57">
        <v>2.99958E-3</v>
      </c>
    </row>
    <row r="2" spans="1:33" x14ac:dyDescent="0.25">
      <c r="A2" t="s">
        <v>76</v>
      </c>
      <c r="B2" t="s">
        <v>128</v>
      </c>
      <c r="C2">
        <v>18</v>
      </c>
      <c r="D2">
        <v>1953.42</v>
      </c>
      <c r="E2">
        <v>1957</v>
      </c>
      <c r="F2" s="59">
        <f>this_year-Table22[[#This Row],[Yr of Birth]]</f>
        <v>50.079999999999927</v>
      </c>
      <c r="G2" s="59">
        <f>this_year-Table22[[#This Row],[neuN formation]]</f>
        <v>46.5</v>
      </c>
      <c r="I2" s="60" t="s">
        <v>150</v>
      </c>
      <c r="L2" s="1" t="s">
        <v>151</v>
      </c>
      <c r="AG2" s="57">
        <v>3.18337E-3</v>
      </c>
    </row>
    <row r="3" spans="1:33" x14ac:dyDescent="0.25">
      <c r="A3" t="s">
        <v>133</v>
      </c>
      <c r="B3" t="s">
        <v>128</v>
      </c>
      <c r="C3">
        <v>17</v>
      </c>
      <c r="D3">
        <v>1952</v>
      </c>
      <c r="E3">
        <v>1956</v>
      </c>
      <c r="F3" s="59">
        <f>this_year-Table22[[#This Row],[Yr of Birth]]</f>
        <v>51.5</v>
      </c>
      <c r="G3" s="59">
        <f>this_year-Table22[[#This Row],[neuN formation]]</f>
        <v>47.5</v>
      </c>
      <c r="I3" s="61">
        <v>2003.5</v>
      </c>
      <c r="L3" t="s">
        <v>152</v>
      </c>
      <c r="AG3" s="57">
        <v>1.3607319999999999E-2</v>
      </c>
    </row>
    <row r="4" spans="1:33" x14ac:dyDescent="0.25">
      <c r="A4" t="s">
        <v>134</v>
      </c>
      <c r="B4" t="s">
        <v>128</v>
      </c>
      <c r="C4">
        <v>14</v>
      </c>
      <c r="D4">
        <v>1968.25</v>
      </c>
      <c r="E4">
        <v>1975.5</v>
      </c>
      <c r="F4" s="59">
        <f>this_year-Table22[[#This Row],[Yr of Birth]]</f>
        <v>35.25</v>
      </c>
      <c r="G4" s="59">
        <f>this_year-Table22[[#This Row],[neuN formation]]</f>
        <v>28</v>
      </c>
      <c r="AG4" s="57">
        <v>5.2505499999999997E-3</v>
      </c>
    </row>
    <row r="5" spans="1:33" x14ac:dyDescent="0.25">
      <c r="A5" t="s">
        <v>135</v>
      </c>
      <c r="B5" t="s">
        <v>128</v>
      </c>
      <c r="C5">
        <v>9</v>
      </c>
      <c r="D5">
        <v>1973.25</v>
      </c>
      <c r="E5">
        <v>1975.53</v>
      </c>
      <c r="F5" s="59">
        <f>this_year-Table22[[#This Row],[Yr of Birth]]</f>
        <v>30.25</v>
      </c>
      <c r="G5" s="59">
        <f>this_year-Table22[[#This Row],[neuN formation]]</f>
        <v>27.970000000000027</v>
      </c>
      <c r="AG5" s="57">
        <v>3.18337E-3</v>
      </c>
    </row>
    <row r="6" spans="1:33" x14ac:dyDescent="0.25">
      <c r="A6" t="s">
        <v>136</v>
      </c>
      <c r="B6" t="s">
        <v>129</v>
      </c>
      <c r="C6">
        <v>17</v>
      </c>
      <c r="D6">
        <v>1952</v>
      </c>
      <c r="E6">
        <v>1956</v>
      </c>
      <c r="F6" s="59">
        <f>this_year-Table22[[#This Row],[Yr of Birth]]</f>
        <v>51.5</v>
      </c>
      <c r="G6" s="59">
        <f>this_year-Table22[[#This Row],[neuN formation]]</f>
        <v>47.5</v>
      </c>
      <c r="AG6" s="57">
        <v>7.4038200000000002E-3</v>
      </c>
    </row>
    <row r="7" spans="1:33" x14ac:dyDescent="0.25">
      <c r="A7" t="s">
        <v>137</v>
      </c>
      <c r="B7" t="s">
        <v>129</v>
      </c>
      <c r="C7">
        <v>22</v>
      </c>
      <c r="D7">
        <v>1946.5</v>
      </c>
      <c r="E7">
        <v>1957</v>
      </c>
      <c r="F7" s="59">
        <f>this_year-Table22[[#This Row],[Yr of Birth]]</f>
        <v>57</v>
      </c>
      <c r="G7" s="59">
        <f>this_year-Table22[[#This Row],[neuN formation]]</f>
        <v>46.5</v>
      </c>
      <c r="AG7" s="57">
        <v>4.6726600000000004E-3</v>
      </c>
    </row>
    <row r="8" spans="1:33" x14ac:dyDescent="0.25">
      <c r="A8" t="s">
        <v>138</v>
      </c>
      <c r="B8" t="s">
        <v>129</v>
      </c>
      <c r="C8">
        <v>14</v>
      </c>
      <c r="D8">
        <v>1968.25</v>
      </c>
      <c r="E8">
        <v>1971</v>
      </c>
      <c r="F8" s="59">
        <f>this_year-Table22[[#This Row],[Yr of Birth]]</f>
        <v>35.25</v>
      </c>
      <c r="G8" s="59">
        <f>this_year-Table22[[#This Row],[neuN formation]]</f>
        <v>32.5</v>
      </c>
      <c r="AG8" s="57">
        <v>1.1213529999999999E-2</v>
      </c>
    </row>
    <row r="9" spans="1:33" x14ac:dyDescent="0.25">
      <c r="A9" t="s">
        <v>139</v>
      </c>
      <c r="B9" t="s">
        <v>129</v>
      </c>
      <c r="C9">
        <v>27</v>
      </c>
      <c r="D9">
        <v>1933.5</v>
      </c>
      <c r="E9">
        <v>1955</v>
      </c>
      <c r="F9" s="59">
        <f>this_year-Table22[[#This Row],[Yr of Birth]]</f>
        <v>70</v>
      </c>
      <c r="G9" s="59">
        <f>this_year-Table22[[#This Row],[neuN formation]]</f>
        <v>48.5</v>
      </c>
      <c r="AG9" s="57">
        <v>4.03608E-3</v>
      </c>
    </row>
    <row r="10" spans="1:33" x14ac:dyDescent="0.25">
      <c r="A10" t="s">
        <v>140</v>
      </c>
      <c r="B10" t="s">
        <v>125</v>
      </c>
      <c r="C10">
        <v>17</v>
      </c>
      <c r="D10">
        <v>1952</v>
      </c>
      <c r="E10">
        <v>1957</v>
      </c>
      <c r="F10" s="59">
        <f>this_year-Table22[[#This Row],[Yr of Birth]]</f>
        <v>51.5</v>
      </c>
      <c r="G10" s="59">
        <f>this_year-Table22[[#This Row],[neuN formation]]</f>
        <v>46.5</v>
      </c>
      <c r="AG10" s="57">
        <v>1.19004E-2</v>
      </c>
    </row>
    <row r="11" spans="1:33" x14ac:dyDescent="0.25">
      <c r="A11" t="s">
        <v>141</v>
      </c>
      <c r="B11" t="s">
        <v>125</v>
      </c>
      <c r="C11">
        <v>27</v>
      </c>
      <c r="D11">
        <v>1933.5</v>
      </c>
      <c r="E11">
        <v>1956</v>
      </c>
      <c r="F11" s="59">
        <f>this_year-Table22[[#This Row],[Yr of Birth]]</f>
        <v>70</v>
      </c>
      <c r="G11" s="59">
        <f>this_year-Table22[[#This Row],[neuN formation]]</f>
        <v>47.5</v>
      </c>
      <c r="AG11" s="57">
        <v>6.6041800000000003E-3</v>
      </c>
    </row>
    <row r="12" spans="1:33" x14ac:dyDescent="0.25">
      <c r="A12" t="s">
        <v>142</v>
      </c>
      <c r="B12" t="s">
        <v>125</v>
      </c>
      <c r="C12">
        <v>22</v>
      </c>
      <c r="D12">
        <v>1946.5</v>
      </c>
      <c r="E12">
        <v>1956</v>
      </c>
      <c r="F12" s="59">
        <f>this_year-Table22[[#This Row],[Yr of Birth]]</f>
        <v>57</v>
      </c>
      <c r="G12" s="59">
        <f>this_year-Table22[[#This Row],[neuN formation]]</f>
        <v>47.5</v>
      </c>
      <c r="AG12" s="57">
        <v>6.1895800000000001E-3</v>
      </c>
    </row>
    <row r="13" spans="1:33" x14ac:dyDescent="0.25">
      <c r="A13" t="s">
        <v>143</v>
      </c>
      <c r="B13" t="s">
        <v>125</v>
      </c>
      <c r="C13">
        <v>23</v>
      </c>
      <c r="D13">
        <v>1945.83</v>
      </c>
      <c r="E13">
        <v>1955</v>
      </c>
      <c r="F13" s="59">
        <f>this_year-Table22[[#This Row],[Yr of Birth]]</f>
        <v>57.670000000000073</v>
      </c>
      <c r="G13" s="59">
        <f>this_year-Table22[[#This Row],[neuN formation]]</f>
        <v>48.5</v>
      </c>
      <c r="AG13" s="57">
        <v>6.8821799999999999E-3</v>
      </c>
    </row>
    <row r="14" spans="1:33" x14ac:dyDescent="0.25">
      <c r="A14" t="s">
        <v>144</v>
      </c>
      <c r="B14" t="s">
        <v>126</v>
      </c>
      <c r="C14">
        <v>14</v>
      </c>
      <c r="D14">
        <v>1968.25</v>
      </c>
      <c r="E14">
        <v>1972.2</v>
      </c>
      <c r="F14" s="59">
        <f>this_year-Table22[[#This Row],[Yr of Birth]]</f>
        <v>35.25</v>
      </c>
      <c r="G14" s="59">
        <f>this_year-Table22[[#This Row],[neuN formation]]</f>
        <v>31.299999999999955</v>
      </c>
      <c r="AG14" s="57">
        <v>6.6041800000000003E-3</v>
      </c>
    </row>
    <row r="15" spans="1:33" x14ac:dyDescent="0.25">
      <c r="A15" t="s">
        <v>145</v>
      </c>
      <c r="B15" t="s">
        <v>126</v>
      </c>
      <c r="C15">
        <v>22</v>
      </c>
      <c r="D15">
        <v>1946.5</v>
      </c>
      <c r="E15">
        <v>1956</v>
      </c>
      <c r="F15" s="59">
        <f>this_year-Table22[[#This Row],[Yr of Birth]]</f>
        <v>57</v>
      </c>
      <c r="G15" s="59">
        <f>this_year-Table22[[#This Row],[neuN formation]]</f>
        <v>47.5</v>
      </c>
      <c r="AG15" s="57">
        <v>1.19004E-2</v>
      </c>
    </row>
    <row r="16" spans="1:33" x14ac:dyDescent="0.25">
      <c r="A16" t="s">
        <v>146</v>
      </c>
      <c r="B16" t="s">
        <v>126</v>
      </c>
      <c r="C16">
        <v>27</v>
      </c>
      <c r="D16">
        <v>1933.5</v>
      </c>
      <c r="E16">
        <v>1956</v>
      </c>
      <c r="F16" s="59">
        <f>this_year-Table22[[#This Row],[Yr of Birth]]</f>
        <v>70</v>
      </c>
      <c r="G16" s="59">
        <f>this_year-Table22[[#This Row],[neuN formation]]</f>
        <v>47.5</v>
      </c>
      <c r="AG16" s="57">
        <v>2.0968110000000002E-2</v>
      </c>
    </row>
    <row r="17" spans="1:33" x14ac:dyDescent="0.25">
      <c r="A17" t="s">
        <v>147</v>
      </c>
      <c r="B17" t="s">
        <v>126</v>
      </c>
      <c r="C17">
        <v>9</v>
      </c>
      <c r="D17">
        <v>1973.25</v>
      </c>
      <c r="E17">
        <v>1981.1</v>
      </c>
      <c r="F17" s="59">
        <f>this_year-Table22[[#This Row],[Yr of Birth]]</f>
        <v>30.25</v>
      </c>
      <c r="G17" s="59">
        <f>this_year-Table22[[#This Row],[neuN formation]]</f>
        <v>22.400000000000091</v>
      </c>
      <c r="AG17" s="57">
        <v>6.96073E-3</v>
      </c>
    </row>
    <row r="18" spans="1:33" x14ac:dyDescent="0.25">
      <c r="A18" t="s">
        <v>148</v>
      </c>
      <c r="B18" t="s">
        <v>126</v>
      </c>
      <c r="C18">
        <v>23</v>
      </c>
      <c r="D18">
        <v>1945.83</v>
      </c>
      <c r="E18">
        <v>1956</v>
      </c>
      <c r="F18" s="59">
        <f>this_year-Table22[[#This Row],[Yr of Birth]]</f>
        <v>57.670000000000073</v>
      </c>
      <c r="G18" s="59">
        <f>this_year-Table22[[#This Row],[neuN formation]]</f>
        <v>47.5</v>
      </c>
      <c r="AG18" s="57">
        <v>3.0147300000000002E-3</v>
      </c>
    </row>
    <row r="19" spans="1:33" x14ac:dyDescent="0.25">
      <c r="A19" t="s">
        <v>149</v>
      </c>
      <c r="B19" t="s">
        <v>126</v>
      </c>
      <c r="C19">
        <v>18</v>
      </c>
      <c r="D19">
        <v>1953.4</v>
      </c>
      <c r="E19">
        <v>1957</v>
      </c>
      <c r="F19" s="59">
        <f>this_year-Table22[[#This Row],[Yr of Birth]]</f>
        <v>50.099999999999909</v>
      </c>
      <c r="G19" s="59">
        <f>this_year-Table22[[#This Row],[neuN formation]]</f>
        <v>46.5</v>
      </c>
      <c r="AG19" s="57">
        <v>1.4803719999999999E-2</v>
      </c>
    </row>
    <row r="20" spans="1:33" x14ac:dyDescent="0.25">
      <c r="A20" s="4" t="s">
        <v>77</v>
      </c>
      <c r="B20" s="4"/>
      <c r="C20" s="4"/>
      <c r="D20" s="40">
        <v>1967.04633204633</v>
      </c>
      <c r="E20" s="40">
        <v>1975.3281853281801</v>
      </c>
      <c r="F20" s="59">
        <f>this_year-Table22[[#This Row],[Yr of Birth]]</f>
        <v>36.453667953669992</v>
      </c>
      <c r="G20" s="59">
        <f>this_year-Table22[[#This Row],[neuN formation]]</f>
        <v>28.171814671819902</v>
      </c>
      <c r="AG20" s="57">
        <v>2.0819529999999999E-2</v>
      </c>
    </row>
    <row r="21" spans="1:33" x14ac:dyDescent="0.25">
      <c r="A21" s="4" t="s">
        <v>77</v>
      </c>
      <c r="B21" s="4"/>
      <c r="C21" s="4"/>
      <c r="D21" s="40">
        <v>1968.5612535612499</v>
      </c>
      <c r="E21" s="40">
        <v>1978.67521367521</v>
      </c>
      <c r="F21" s="59">
        <f>this_year-Table22[[#This Row],[Yr of Birth]]</f>
        <v>34.938746438750059</v>
      </c>
      <c r="G21" s="59">
        <f>this_year-Table22[[#This Row],[neuN formation]]</f>
        <v>24.824786324790011</v>
      </c>
      <c r="AG21" s="57">
        <v>7.5568099999999997E-3</v>
      </c>
    </row>
    <row r="22" spans="1:33" x14ac:dyDescent="0.25">
      <c r="A22" s="4" t="s">
        <v>77</v>
      </c>
      <c r="D22" s="40">
        <v>1946.2182741116701</v>
      </c>
      <c r="E22" s="40">
        <v>1957.0050761421301</v>
      </c>
      <c r="F22" s="59">
        <f>this_year-Table22[[#This Row],[Yr of Birth]]</f>
        <v>57.281725888329902</v>
      </c>
      <c r="G22" s="59">
        <f>this_year-Table22[[#This Row],[neuN formation]]</f>
        <v>46.494923857869935</v>
      </c>
      <c r="AG22" s="57">
        <v>5.0907900000000004E-3</v>
      </c>
    </row>
    <row r="23" spans="1:33" x14ac:dyDescent="0.25">
      <c r="A23" s="4" t="s">
        <v>77</v>
      </c>
      <c r="D23" s="40">
        <v>1950.53268765133</v>
      </c>
      <c r="E23" s="40">
        <v>1957.0730622246799</v>
      </c>
      <c r="F23" s="59">
        <f>this_year-Table22[[#This Row],[Yr of Birth]]</f>
        <v>52.967312348670021</v>
      </c>
      <c r="G23" s="59">
        <f>this_year-Table22[[#This Row],[neuN formation]]</f>
        <v>46.426937775320084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28" sqref="J28"/>
    </sheetView>
  </sheetViews>
  <sheetFormatPr defaultRowHeight="15" x14ac:dyDescent="0.25"/>
  <cols>
    <col min="1" max="1" width="40" customWidth="1"/>
    <col min="2" max="3" width="11" customWidth="1"/>
    <col min="4" max="4" width="16.28515625" customWidth="1"/>
    <col min="5" max="5" width="20.5703125" customWidth="1"/>
  </cols>
  <sheetData>
    <row r="1" spans="1:5" x14ac:dyDescent="0.25">
      <c r="A1" t="s">
        <v>162</v>
      </c>
      <c r="B1" t="s">
        <v>102</v>
      </c>
      <c r="C1" t="s">
        <v>103</v>
      </c>
      <c r="D1" t="s">
        <v>177</v>
      </c>
      <c r="E1" t="s">
        <v>163</v>
      </c>
    </row>
    <row r="2" spans="1:5" x14ac:dyDescent="0.25">
      <c r="A2" t="s">
        <v>168</v>
      </c>
      <c r="B2">
        <v>39.1</v>
      </c>
      <c r="C2">
        <v>0</v>
      </c>
      <c r="D2" t="s">
        <v>169</v>
      </c>
    </row>
    <row r="3" spans="1:5" x14ac:dyDescent="0.25">
      <c r="A3" t="s">
        <v>164</v>
      </c>
      <c r="B3">
        <v>4.2</v>
      </c>
      <c r="C3">
        <v>1</v>
      </c>
      <c r="D3" t="s">
        <v>170</v>
      </c>
      <c r="E3" t="s">
        <v>165</v>
      </c>
    </row>
    <row r="4" spans="1:5" x14ac:dyDescent="0.25">
      <c r="A4" t="s">
        <v>176</v>
      </c>
      <c r="B4">
        <v>1.38</v>
      </c>
      <c r="C4" s="49">
        <f>1.75%*Table11[[#This Row],[value]]</f>
        <v>2.4150000000000001E-2</v>
      </c>
      <c r="D4" s="49" t="s">
        <v>171</v>
      </c>
      <c r="E4" t="s">
        <v>165</v>
      </c>
    </row>
    <row r="5" spans="1:5" x14ac:dyDescent="0.25">
      <c r="A5" t="s">
        <v>174</v>
      </c>
      <c r="B5">
        <v>9.1999999999999998E-3</v>
      </c>
      <c r="C5">
        <v>1E-3</v>
      </c>
      <c r="D5" t="s">
        <v>172</v>
      </c>
      <c r="E5" t="s">
        <v>166</v>
      </c>
    </row>
    <row r="6" spans="1:5" x14ac:dyDescent="0.25">
      <c r="A6" t="s">
        <v>175</v>
      </c>
      <c r="B6" s="40">
        <v>1200</v>
      </c>
      <c r="C6">
        <v>400</v>
      </c>
      <c r="D6" t="s">
        <v>173</v>
      </c>
      <c r="E6" t="s">
        <v>167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2" sqref="F2:F3"/>
    </sheetView>
  </sheetViews>
  <sheetFormatPr defaultRowHeight="15" x14ac:dyDescent="0.25"/>
  <cols>
    <col min="1" max="1" width="11" customWidth="1"/>
    <col min="2" max="2" width="18.85546875" customWidth="1"/>
    <col min="3" max="3" width="22.28515625" customWidth="1"/>
    <col min="4" max="4" width="13.28515625" customWidth="1"/>
    <col min="5" max="5" width="10.85546875" customWidth="1"/>
    <col min="6" max="6" width="41.85546875" customWidth="1"/>
  </cols>
  <sheetData>
    <row r="1" spans="1:11" ht="29.25" customHeight="1" x14ac:dyDescent="0.25">
      <c r="A1" s="17" t="s">
        <v>0</v>
      </c>
      <c r="B1" s="17" t="s">
        <v>95</v>
      </c>
      <c r="C1" s="17" t="s">
        <v>94</v>
      </c>
      <c r="D1" s="17" t="s">
        <v>92</v>
      </c>
      <c r="E1" s="17" t="s">
        <v>93</v>
      </c>
      <c r="F1" s="17" t="s">
        <v>96</v>
      </c>
    </row>
    <row r="2" spans="1:11" x14ac:dyDescent="0.25">
      <c r="A2" t="s">
        <v>91</v>
      </c>
      <c r="B2">
        <v>1.54</v>
      </c>
      <c r="C2">
        <v>0.11</v>
      </c>
      <c r="D2">
        <v>48.5</v>
      </c>
      <c r="E2">
        <v>8</v>
      </c>
      <c r="F2" s="1" t="s">
        <v>99</v>
      </c>
    </row>
    <row r="3" spans="1:11" x14ac:dyDescent="0.25">
      <c r="A3" t="s">
        <v>97</v>
      </c>
      <c r="B3">
        <v>5</v>
      </c>
      <c r="C3">
        <v>0.6</v>
      </c>
      <c r="D3">
        <v>35</v>
      </c>
      <c r="E3">
        <v>5</v>
      </c>
      <c r="F3" s="1" t="s">
        <v>98</v>
      </c>
    </row>
    <row r="4" spans="1:11" x14ac:dyDescent="0.25">
      <c r="A4" t="s">
        <v>15</v>
      </c>
      <c r="B4">
        <f>SUBTOTAL(101,Hippocampus_data[volume (cm^3)])</f>
        <v>3.27</v>
      </c>
      <c r="C4" s="40">
        <f>STDEV(Hippocampus_data[volume (cm^3)])</f>
        <v>2.4465894629054548</v>
      </c>
      <c r="D4">
        <f>SUBTOTAL(101,Hippocampus_data[numebr of neurons (millions)])</f>
        <v>41.75</v>
      </c>
      <c r="E4" s="49">
        <f>STDEV(Hippocampus_data[numebr of neurons (millions)])</f>
        <v>9.5459415460183923</v>
      </c>
    </row>
    <row r="6" spans="1:11" x14ac:dyDescent="0.25">
      <c r="A6" s="3" t="s">
        <v>100</v>
      </c>
      <c r="F6" t="s">
        <v>16</v>
      </c>
    </row>
    <row r="7" spans="1:11" x14ac:dyDescent="0.25">
      <c r="A7" t="s">
        <v>101</v>
      </c>
    </row>
    <row r="8" spans="1:11" x14ac:dyDescent="0.25">
      <c r="A8" t="s">
        <v>17</v>
      </c>
      <c r="B8" t="s">
        <v>104</v>
      </c>
      <c r="C8" t="s">
        <v>105</v>
      </c>
      <c r="D8" t="s">
        <v>106</v>
      </c>
    </row>
    <row r="9" spans="1:11" x14ac:dyDescent="0.25">
      <c r="A9" t="s">
        <v>102</v>
      </c>
      <c r="B9">
        <v>0.27</v>
      </c>
      <c r="C9">
        <v>1.43</v>
      </c>
      <c r="D9" s="41">
        <f>B9/C9</f>
        <v>0.18881118881118883</v>
      </c>
    </row>
    <row r="10" spans="1:11" x14ac:dyDescent="0.25">
      <c r="A10" t="s">
        <v>103</v>
      </c>
      <c r="B10">
        <v>0.05</v>
      </c>
      <c r="C10">
        <v>0.14000000000000001</v>
      </c>
      <c r="D10" s="41">
        <f>SQRT((Table20[[#This Row],[neurons (billions)]]/C9)^2+(B9*Table20[[#This Row],[non-neurons (billions]]/C9^2)^2)</f>
        <v>3.9550591904112593E-2</v>
      </c>
    </row>
    <row r="13" spans="1:11" x14ac:dyDescent="0.25">
      <c r="K13" s="5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28" sqref="C28"/>
    </sheetView>
  </sheetViews>
  <sheetFormatPr defaultRowHeight="15" x14ac:dyDescent="0.25"/>
  <cols>
    <col min="1" max="1" width="18.85546875" customWidth="1"/>
    <col min="2" max="2" width="12.42578125" customWidth="1"/>
    <col min="3" max="3" width="11.42578125" customWidth="1"/>
    <col min="4" max="4" width="23.42578125" customWidth="1"/>
    <col min="5" max="5" width="12.5703125" customWidth="1"/>
    <col min="6" max="6" width="11.85546875" customWidth="1"/>
  </cols>
  <sheetData>
    <row r="1" spans="1:8" x14ac:dyDescent="0.25">
      <c r="A1" t="s">
        <v>45</v>
      </c>
    </row>
    <row r="2" spans="1:8" x14ac:dyDescent="0.25">
      <c r="H2" t="s">
        <v>44</v>
      </c>
    </row>
    <row r="3" spans="1:8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</row>
    <row r="4" spans="1:8" x14ac:dyDescent="0.25">
      <c r="A4" s="2">
        <v>0.28999999999999998</v>
      </c>
      <c r="B4" s="43">
        <v>0.61499999999999999</v>
      </c>
      <c r="C4" s="43">
        <v>9.5000000000000001E-2</v>
      </c>
      <c r="D4" t="s">
        <v>52</v>
      </c>
      <c r="E4" t="s">
        <v>56</v>
      </c>
      <c r="F4">
        <v>1952</v>
      </c>
    </row>
    <row r="5" spans="1:8" x14ac:dyDescent="0.25">
      <c r="A5" s="41">
        <v>0.4</v>
      </c>
      <c r="B5" s="41">
        <v>0.54</v>
      </c>
      <c r="C5" s="41"/>
      <c r="D5" t="s">
        <v>32</v>
      </c>
      <c r="E5" t="s">
        <v>56</v>
      </c>
      <c r="F5">
        <v>1952</v>
      </c>
    </row>
    <row r="6" spans="1:8" x14ac:dyDescent="0.25">
      <c r="A6" s="41">
        <v>0.59</v>
      </c>
      <c r="B6" s="41"/>
      <c r="C6" s="41"/>
      <c r="D6" t="s">
        <v>33</v>
      </c>
      <c r="E6" t="s">
        <v>56</v>
      </c>
      <c r="F6">
        <v>1952</v>
      </c>
    </row>
    <row r="7" spans="1:8" x14ac:dyDescent="0.25">
      <c r="A7" s="41" t="s">
        <v>34</v>
      </c>
      <c r="B7" s="41" t="s">
        <v>35</v>
      </c>
      <c r="C7" s="41" t="s">
        <v>36</v>
      </c>
      <c r="D7" t="s">
        <v>37</v>
      </c>
      <c r="E7" t="s">
        <v>56</v>
      </c>
      <c r="F7">
        <v>1952</v>
      </c>
    </row>
    <row r="8" spans="1:8" x14ac:dyDescent="0.25">
      <c r="A8" s="41">
        <v>0.77500000000000002</v>
      </c>
      <c r="B8" s="41"/>
      <c r="C8" s="41"/>
      <c r="D8" t="s">
        <v>53</v>
      </c>
      <c r="E8" t="s">
        <v>56</v>
      </c>
      <c r="F8">
        <v>1952</v>
      </c>
    </row>
    <row r="9" spans="1:8" x14ac:dyDescent="0.25">
      <c r="A9" s="41">
        <v>0.62</v>
      </c>
      <c r="B9" s="41"/>
      <c r="C9" s="41"/>
      <c r="D9" t="s">
        <v>54</v>
      </c>
      <c r="E9" t="s">
        <v>56</v>
      </c>
      <c r="F9">
        <v>1952</v>
      </c>
    </row>
    <row r="10" spans="1:8" x14ac:dyDescent="0.25">
      <c r="A10" s="41">
        <v>0.51</v>
      </c>
      <c r="B10" s="41">
        <v>0.4</v>
      </c>
      <c r="C10" s="41">
        <v>0.09</v>
      </c>
      <c r="D10" t="s">
        <v>55</v>
      </c>
      <c r="E10" t="s">
        <v>39</v>
      </c>
      <c r="F10">
        <v>1956</v>
      </c>
    </row>
    <row r="11" spans="1:8" x14ac:dyDescent="0.25">
      <c r="A11" s="41">
        <v>0.45</v>
      </c>
      <c r="B11" s="41">
        <v>0.4</v>
      </c>
      <c r="C11" s="41">
        <v>0.1</v>
      </c>
      <c r="D11" t="s">
        <v>40</v>
      </c>
      <c r="E11" t="s">
        <v>41</v>
      </c>
      <c r="F11">
        <v>1958</v>
      </c>
    </row>
    <row r="12" spans="1:8" x14ac:dyDescent="0.25">
      <c r="A12" s="41">
        <v>0.67</v>
      </c>
      <c r="B12" s="41">
        <v>0.23</v>
      </c>
      <c r="C12" s="41">
        <v>0.1</v>
      </c>
      <c r="D12" t="s">
        <v>42</v>
      </c>
      <c r="E12" t="s">
        <v>41</v>
      </c>
      <c r="F12">
        <v>1958</v>
      </c>
    </row>
    <row r="13" spans="1:8" x14ac:dyDescent="0.25">
      <c r="A13" s="41">
        <v>0.37</v>
      </c>
      <c r="B13" s="41">
        <v>0.46</v>
      </c>
      <c r="C13" s="41">
        <v>0.17</v>
      </c>
      <c r="D13" t="s">
        <v>57</v>
      </c>
      <c r="E13" t="s">
        <v>41</v>
      </c>
      <c r="F13">
        <v>1959</v>
      </c>
    </row>
    <row r="14" spans="1:8" x14ac:dyDescent="0.25">
      <c r="A14" s="41">
        <v>0.69</v>
      </c>
      <c r="B14" s="41">
        <v>0.24</v>
      </c>
      <c r="C14" s="41">
        <v>7.0000000000000007E-2</v>
      </c>
      <c r="D14" t="s">
        <v>58</v>
      </c>
      <c r="E14" t="s">
        <v>41</v>
      </c>
      <c r="F14">
        <v>1959</v>
      </c>
    </row>
    <row r="15" spans="1:8" x14ac:dyDescent="0.25">
      <c r="A15" s="41">
        <v>0.51</v>
      </c>
      <c r="B15" s="41">
        <v>0.41</v>
      </c>
      <c r="C15" s="41"/>
      <c r="D15" t="s">
        <v>59</v>
      </c>
      <c r="E15" t="s">
        <v>43</v>
      </c>
      <c r="F15">
        <v>1959</v>
      </c>
    </row>
    <row r="16" spans="1:8" x14ac:dyDescent="0.25">
      <c r="A16" s="41">
        <v>0.75</v>
      </c>
      <c r="B16" s="41">
        <v>0.19</v>
      </c>
      <c r="C16" s="41">
        <v>0.06</v>
      </c>
      <c r="D16" t="s">
        <v>60</v>
      </c>
      <c r="E16" t="s">
        <v>61</v>
      </c>
      <c r="F16">
        <v>2008</v>
      </c>
    </row>
    <row r="17" spans="1:7" x14ac:dyDescent="0.25">
      <c r="A17" s="41"/>
      <c r="B17" s="41"/>
      <c r="C17" s="41">
        <v>0.16500000000000001</v>
      </c>
      <c r="D17" t="s">
        <v>60</v>
      </c>
      <c r="E17" t="s">
        <v>62</v>
      </c>
      <c r="F17">
        <v>2009</v>
      </c>
    </row>
    <row r="18" spans="1:7" x14ac:dyDescent="0.25">
      <c r="A18" s="41"/>
      <c r="B18" s="41"/>
      <c r="C18" s="41"/>
    </row>
    <row r="19" spans="1:7" x14ac:dyDescent="0.25">
      <c r="A19" s="41"/>
      <c r="B19" s="41"/>
      <c r="C19" s="41"/>
    </row>
    <row r="20" spans="1:7" x14ac:dyDescent="0.25">
      <c r="A20" s="45" t="s">
        <v>66</v>
      </c>
      <c r="B20" s="41"/>
      <c r="C20" s="41"/>
    </row>
    <row r="21" spans="1:7" x14ac:dyDescent="0.25">
      <c r="A21" s="18" t="s">
        <v>38</v>
      </c>
      <c r="B21" s="18" t="s">
        <v>46</v>
      </c>
      <c r="C21" s="18" t="s">
        <v>63</v>
      </c>
      <c r="D21" s="18" t="s">
        <v>47</v>
      </c>
      <c r="E21" s="18" t="s">
        <v>64</v>
      </c>
      <c r="F21" s="18" t="s">
        <v>48</v>
      </c>
      <c r="G21" s="18" t="s">
        <v>65</v>
      </c>
    </row>
    <row r="22" spans="1:7" x14ac:dyDescent="0.25">
      <c r="A22" s="46" t="s">
        <v>40</v>
      </c>
      <c r="B22" s="46">
        <f>AVERAGE($A$10,$A$11,$A$15,$A$13,$A$16)</f>
        <v>0.51800000000000002</v>
      </c>
      <c r="C22" s="46">
        <f t="shared" ref="C22" si="0">STDEV($A$10,$A$11,$A$15,$A$13,$A$16)</f>
        <v>0.14184498581197724</v>
      </c>
      <c r="D22" s="46">
        <f>AVERAGE($B$10,$B$11,$B$15,$B$13,$B$16)</f>
        <v>0.372</v>
      </c>
      <c r="E22" s="46">
        <f t="shared" ref="E22" si="1">STDEV($B$10,$B$11,$B$15,$B$13,$B$16)</f>
        <v>0.10473776778220947</v>
      </c>
      <c r="F22" s="46">
        <f t="shared" ref="F22" si="2">AVERAGE($C$10,$C$11,$C$15,$C$13,$C$16)</f>
        <v>0.105</v>
      </c>
      <c r="G22" s="46">
        <f t="shared" ref="G22" si="3">STDEV($C$10,$C$11,$C$15,$C$13,$C$16)</f>
        <v>4.6547466812563186E-2</v>
      </c>
    </row>
    <row r="23" spans="1:7" x14ac:dyDescent="0.25">
      <c r="A23" s="44" t="s">
        <v>42</v>
      </c>
      <c r="B23" s="46">
        <f>AVERAGE($A$12,$A$14)</f>
        <v>0.67999999999999994</v>
      </c>
      <c r="C23" s="46">
        <f>STDEV($A$12,$A$14)</f>
        <v>1.4142135623730885E-2</v>
      </c>
      <c r="D23" s="46">
        <f>AVERAGE($B$12,$B$14)</f>
        <v>0.23499999999999999</v>
      </c>
      <c r="E23" s="46">
        <f>STDEV($B$12,$B$14)</f>
        <v>7.0710678118654623E-3</v>
      </c>
      <c r="F23" s="46">
        <f>AVERAGE($C$12,$C$14)</f>
        <v>8.5000000000000006E-2</v>
      </c>
      <c r="G23" s="46">
        <f>STDEV($C$12,$C$14)</f>
        <v>2.1213203435596444E-2</v>
      </c>
    </row>
    <row r="27" spans="1:7" x14ac:dyDescent="0.25">
      <c r="A27" s="3" t="s">
        <v>67</v>
      </c>
    </row>
    <row r="29" spans="1:7" x14ac:dyDescent="0.25">
      <c r="A29" s="18" t="s">
        <v>38</v>
      </c>
      <c r="B29" s="18" t="s">
        <v>69</v>
      </c>
      <c r="C29" s="47" t="s">
        <v>70</v>
      </c>
    </row>
    <row r="30" spans="1:7" x14ac:dyDescent="0.25">
      <c r="A30" s="46" t="s">
        <v>68</v>
      </c>
      <c r="B30" s="46">
        <v>0.3</v>
      </c>
    </row>
    <row r="31" spans="1:7" x14ac:dyDescent="0.25">
      <c r="A31" s="44" t="s">
        <v>42</v>
      </c>
      <c r="B31" s="46">
        <v>0.15</v>
      </c>
      <c r="C31" s="2">
        <v>0.05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5" zoomScaleNormal="115" workbookViewId="0">
      <selection activeCell="C28" sqref="C28"/>
    </sheetView>
  </sheetViews>
  <sheetFormatPr defaultRowHeight="15" x14ac:dyDescent="0.25"/>
  <cols>
    <col min="1" max="1" width="25.42578125" customWidth="1"/>
    <col min="2" max="2" width="19" customWidth="1"/>
    <col min="3" max="3" width="15.140625" customWidth="1"/>
    <col min="4" max="4" width="13.140625" customWidth="1"/>
    <col min="5" max="5" width="12.85546875" customWidth="1"/>
  </cols>
  <sheetData>
    <row r="1" spans="1:8" ht="51" x14ac:dyDescent="0.25">
      <c r="A1" s="5" t="s">
        <v>14</v>
      </c>
      <c r="B1" s="6" t="s">
        <v>2</v>
      </c>
      <c r="C1" s="6" t="s">
        <v>3</v>
      </c>
      <c r="D1" s="6" t="s">
        <v>4</v>
      </c>
      <c r="E1" s="6" t="s">
        <v>5</v>
      </c>
      <c r="H1" t="s">
        <v>26</v>
      </c>
    </row>
    <row r="2" spans="1:8" x14ac:dyDescent="0.25">
      <c r="A2" s="5" t="s">
        <v>13</v>
      </c>
      <c r="B2" s="7">
        <v>154</v>
      </c>
      <c r="C2" s="14">
        <f>Az_det[[#This Row],[Mass (g)]]/Az_det[[#Totals],[Mass (g)]]</f>
        <v>0.10205434062292909</v>
      </c>
      <c r="D2" s="7">
        <v>69</v>
      </c>
      <c r="E2" s="7">
        <v>16</v>
      </c>
    </row>
    <row r="3" spans="1:8" x14ac:dyDescent="0.25">
      <c r="A3" s="5" t="s">
        <v>19</v>
      </c>
      <c r="B3" s="7">
        <v>316</v>
      </c>
      <c r="C3" s="14">
        <f>Az_det[[#This Row],[Mass (g)]]/Az_det[[#Totals],[Mass (g)]]</f>
        <v>0.2094102054340623</v>
      </c>
      <c r="D3" s="7">
        <v>6.2</v>
      </c>
      <c r="E3" s="7">
        <v>8.6999999999999993</v>
      </c>
    </row>
    <row r="4" spans="1:8" x14ac:dyDescent="0.25">
      <c r="A4" s="5" t="s">
        <v>20</v>
      </c>
      <c r="B4" s="7">
        <v>294.2</v>
      </c>
      <c r="C4" s="14">
        <f>Az_det[[#This Row],[Mass (g)]]/Az_det[[#Totals],[Mass (g)]]</f>
        <v>0.19496355202120608</v>
      </c>
      <c r="D4" s="7">
        <v>1.3</v>
      </c>
      <c r="E4" s="7">
        <v>19.899999999999999</v>
      </c>
    </row>
    <row r="5" spans="1:8" x14ac:dyDescent="0.25">
      <c r="A5" s="5" t="s">
        <v>22</v>
      </c>
      <c r="B5" s="7">
        <v>117.7</v>
      </c>
      <c r="C5" s="14">
        <f>Az_det[[#This Row],[Mass (g)]]/Az_det[[#Totals],[Mass (g)]]</f>
        <v>7.7998674618952948E-2</v>
      </c>
      <c r="D5" s="7">
        <v>0.7</v>
      </c>
      <c r="E5" s="7">
        <v>7.7</v>
      </c>
    </row>
    <row r="6" spans="1:8" x14ac:dyDescent="0.25">
      <c r="A6" s="5" t="s">
        <v>23</v>
      </c>
      <c r="B6" s="7">
        <f>Az_det[[#Totals],[Mass (g)]]-SUM(B2:B5)</f>
        <v>627.09999999999991</v>
      </c>
      <c r="C6" s="14">
        <f>Az_det[[#This Row],[Mass (g)]]/Az_det[[#Totals],[Mass (g)]]</f>
        <v>0.41557322730284951</v>
      </c>
      <c r="D6" s="7">
        <f>Az_det[[#Totals],[Absolute neuronal number (billion)]]-SUM(D2:D5)</f>
        <v>8.7999999999999972</v>
      </c>
      <c r="E6" s="7">
        <f>Az_det[[#Totals],[Absolute non-neuronal number (billion)]]-SUM(E2:E5)</f>
        <v>32.299999999999997</v>
      </c>
    </row>
    <row r="7" spans="1:8" x14ac:dyDescent="0.25">
      <c r="A7" s="10" t="s">
        <v>12</v>
      </c>
      <c r="B7" s="8" t="s">
        <v>18</v>
      </c>
      <c r="C7" s="11">
        <f>SUBTOTAL(109,Az_det[% Total brain mass])</f>
        <v>0.99999999999999989</v>
      </c>
      <c r="D7" s="8" t="s">
        <v>24</v>
      </c>
      <c r="E7" s="9" t="s">
        <v>25</v>
      </c>
    </row>
    <row r="12" spans="1:8" ht="51" x14ac:dyDescent="0.25">
      <c r="A12" s="18" t="s">
        <v>14</v>
      </c>
      <c r="B12" s="19" t="s">
        <v>2</v>
      </c>
      <c r="C12" s="19" t="s">
        <v>3</v>
      </c>
      <c r="D12" s="19" t="s">
        <v>4</v>
      </c>
      <c r="E12" s="19" t="s">
        <v>5</v>
      </c>
    </row>
    <row r="13" spans="1:8" x14ac:dyDescent="0.25">
      <c r="A13" s="26" t="s">
        <v>31</v>
      </c>
      <c r="B13" s="36">
        <f>B3+B6*B3/(B4+B3)</f>
        <v>640.75188462799076</v>
      </c>
      <c r="C13" s="21">
        <f>B13/Az_summ[[#Totals],[Mass (g)]]</f>
        <v>0.42462020187408273</v>
      </c>
      <c r="D13" s="36">
        <f>D3+D6*D3/(D4+D3)</f>
        <v>13.474666666666664</v>
      </c>
      <c r="E13" s="36">
        <f>E3+E6*E3/(E4+E3)</f>
        <v>18.525524475524474</v>
      </c>
    </row>
    <row r="14" spans="1:8" x14ac:dyDescent="0.25">
      <c r="A14" s="26" t="s">
        <v>117</v>
      </c>
      <c r="B14" s="36">
        <f>B4+B6*B4/(B4+B3)</f>
        <v>596.54811537200908</v>
      </c>
      <c r="C14" s="21">
        <f>B14/Az_summ[[#Totals],[Mass (g)]]</f>
        <v>0.39532678288403522</v>
      </c>
      <c r="D14" s="36">
        <f>D4+D6*D4/(D4+D3)</f>
        <v>2.825333333333333</v>
      </c>
      <c r="E14" s="36">
        <f>E4+E6*E4/(E4+E3)</f>
        <v>42.374475524475521</v>
      </c>
    </row>
    <row r="15" spans="1:8" x14ac:dyDescent="0.25">
      <c r="A15" s="27" t="s">
        <v>13</v>
      </c>
      <c r="B15" s="15">
        <f>B2</f>
        <v>154</v>
      </c>
      <c r="C15" s="21">
        <f>B15/Az_summ[[#Totals],[Mass (g)]]</f>
        <v>0.1020543406229291</v>
      </c>
      <c r="D15" s="15">
        <f>D2</f>
        <v>69</v>
      </c>
      <c r="E15" s="15">
        <f>E2</f>
        <v>16</v>
      </c>
    </row>
    <row r="16" spans="1:8" x14ac:dyDescent="0.25">
      <c r="A16" s="27" t="s">
        <v>21</v>
      </c>
      <c r="B16" s="15">
        <f>B5</f>
        <v>117.7</v>
      </c>
      <c r="C16" s="21">
        <f>B16/Az_summ[[#Totals],[Mass (g)]]</f>
        <v>7.7998674618952962E-2</v>
      </c>
      <c r="D16" s="15">
        <f t="shared" ref="D16:E16" si="0">D5</f>
        <v>0.7</v>
      </c>
      <c r="E16" s="15">
        <f t="shared" si="0"/>
        <v>7.7</v>
      </c>
    </row>
    <row r="17" spans="1:5" x14ac:dyDescent="0.25">
      <c r="A17" s="23" t="s">
        <v>12</v>
      </c>
      <c r="B17" s="37">
        <f>SUBTOTAL(109,Az_summ[Mass (g)])</f>
        <v>1508.9999999999998</v>
      </c>
      <c r="C17" s="34">
        <f>SUBTOTAL(109,Az_summ[% Total brain mass])</f>
        <v>1</v>
      </c>
      <c r="D17" s="31">
        <f>SUBTOTAL(109,Az_summ[Absolute neuronal number (billion)])</f>
        <v>86</v>
      </c>
      <c r="E17" s="31">
        <f>SUBTOTAL(109,Az_summ[Absolute non-neuronal number (billion)])</f>
        <v>84.6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Cells_turnover</vt:lpstr>
      <vt:lpstr>nonNeuron_population</vt:lpstr>
      <vt:lpstr>Pakkenberg and Gundersen, 1997</vt:lpstr>
      <vt:lpstr>Neuron_and_nonN_populations</vt:lpstr>
      <vt:lpstr>age_neuN_Cortex</vt:lpstr>
      <vt:lpstr>Cellular_mass</vt:lpstr>
      <vt:lpstr>Hippocampus</vt:lpstr>
      <vt:lpstr>von Bartheld et al., 2016</vt:lpstr>
      <vt:lpstr>Azevedo et al., 2009</vt:lpstr>
      <vt:lpstr>Andrade-Morales et al., 2013</vt:lpstr>
      <vt:lpstr>measure_year</vt:lpstr>
      <vt:lpstr>this_year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2019-06-24T14:00:13Z</dcterms:modified>
</cp:coreProperties>
</file>