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se\Dropbox\ביולוגיה\Human Cells\Age and rates\Jupyter Notebook\"/>
    </mc:Choice>
  </mc:AlternateContent>
  <bookViews>
    <workbookView xWindow="0" yWindow="0" windowWidth="28800" windowHeight="12300" activeTab="3"/>
  </bookViews>
  <sheets>
    <sheet name="Endothl" sheetId="1" r:id="rId1"/>
    <sheet name="Blood_vessels_volume" sheetId="3" r:id="rId2"/>
    <sheet name="Endothelium_properties" sheetId="4" r:id="rId3"/>
    <sheet name="Endothel_turnoevr" sheetId="5" r:id="rId4"/>
    <sheet name="rr" sheetId="2" r:id="rId5"/>
  </sheets>
  <externalReferences>
    <externalReference r:id="rId6"/>
  </externalReferences>
  <definedNames>
    <definedName name="_xlchart.v1.0" hidden="1">rr!$F$10:$F$18</definedName>
    <definedName name="_xlchart.v1.1" hidden="1">rr!$G$10:$G$18</definedName>
    <definedName name="_xlchart.v1.2" hidden="1">rr!$H$10:$H$18</definedName>
    <definedName name="_xlchart.v1.3" hidden="1">rr!$H$10:$H$18</definedName>
    <definedName name="dr_p">[1]BacterialConc!$O$5</definedName>
  </definedName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6" i="3"/>
  <c r="C5" i="3"/>
  <c r="E38" i="1"/>
  <c r="E39" i="1"/>
  <c r="E40" i="1"/>
  <c r="E37" i="1"/>
  <c r="E36" i="1"/>
  <c r="R37" i="1"/>
  <c r="R28" i="1"/>
  <c r="R27" i="1"/>
  <c r="P37" i="1"/>
  <c r="P28" i="1"/>
  <c r="P27" i="1"/>
  <c r="B40" i="1"/>
  <c r="B39" i="1"/>
  <c r="G2" i="2"/>
  <c r="I2" i="2"/>
  <c r="F2" i="2"/>
  <c r="H19" i="2"/>
  <c r="H18" i="2"/>
  <c r="H17" i="2"/>
  <c r="H16" i="2"/>
  <c r="H15" i="2"/>
  <c r="H14" i="2"/>
  <c r="H13" i="2"/>
  <c r="H12" i="2"/>
  <c r="H11" i="2"/>
  <c r="H10" i="2"/>
  <c r="G10" i="2"/>
  <c r="G11" i="2"/>
  <c r="G12" i="2"/>
  <c r="G13" i="2"/>
  <c r="G14" i="2"/>
  <c r="G15" i="2"/>
  <c r="G16" i="2"/>
  <c r="G17" i="2"/>
  <c r="G18" i="2"/>
  <c r="G19" i="2"/>
  <c r="F10" i="2"/>
  <c r="F11" i="2"/>
  <c r="F12" i="2"/>
  <c r="F13" i="2"/>
  <c r="F14" i="2"/>
  <c r="F15" i="2"/>
  <c r="F16" i="2"/>
  <c r="F17" i="2"/>
  <c r="F18" i="2"/>
  <c r="F19" i="2"/>
  <c r="F3" i="2"/>
  <c r="D43" i="2"/>
  <c r="D42" i="2"/>
  <c r="B43" i="2"/>
  <c r="B42" i="2"/>
  <c r="B46" i="2"/>
  <c r="B45" i="2"/>
  <c r="C46" i="2"/>
  <c r="B48" i="2"/>
  <c r="B47" i="2"/>
  <c r="C48" i="2"/>
  <c r="F38" i="2"/>
  <c r="F37" i="2"/>
  <c r="E40" i="2"/>
  <c r="E39" i="2"/>
  <c r="E38" i="2"/>
  <c r="E37" i="2"/>
  <c r="E36" i="2"/>
  <c r="C6" i="1"/>
  <c r="F6" i="1"/>
  <c r="G6" i="1"/>
  <c r="G4" i="1"/>
  <c r="G7" i="1"/>
  <c r="C4" i="1"/>
  <c r="C5" i="1"/>
  <c r="C7" i="1"/>
  <c r="C8" i="1"/>
  <c r="K4" i="1"/>
  <c r="K5" i="1"/>
  <c r="K6" i="1"/>
  <c r="K7" i="1"/>
  <c r="K8" i="1"/>
  <c r="B25" i="1"/>
  <c r="F5" i="1"/>
  <c r="G5" i="1"/>
  <c r="I5" i="1"/>
  <c r="L5" i="1"/>
  <c r="I6" i="1"/>
  <c r="L6" i="1"/>
  <c r="F7" i="1"/>
  <c r="I7" i="1"/>
  <c r="L7" i="1"/>
  <c r="F8" i="1"/>
  <c r="G8" i="1"/>
  <c r="I8" i="1"/>
  <c r="L8" i="1"/>
  <c r="F4" i="1"/>
  <c r="I4" i="1"/>
  <c r="I9" i="1"/>
  <c r="L9" i="1"/>
  <c r="L4" i="1"/>
  <c r="B24" i="1"/>
  <c r="B19" i="1"/>
  <c r="B20" i="1"/>
  <c r="B18" i="1"/>
  <c r="B21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<sst xmlns="http://schemas.openxmlformats.org/spreadsheetml/2006/main" count="153" uniqueCount="86">
  <si>
    <t>Calculation of the number of endothelial cells in the human body</t>
  </si>
  <si>
    <t>total volume</t>
  </si>
  <si>
    <t>(snyder,1975)</t>
  </si>
  <si>
    <t>% Blood Volume</t>
  </si>
  <si>
    <t>total Volume (cm3)</t>
  </si>
  <si>
    <t>mean diamater (cm)</t>
  </si>
  <si>
    <t>volume for 1cm of length (cm3)</t>
  </si>
  <si>
    <t>calculated length(cm)</t>
  </si>
  <si>
    <t>calculated surface area (cm^2)</t>
  </si>
  <si>
    <t>endothelial cell density (cells/cm2)</t>
  </si>
  <si>
    <t># cells in vessels</t>
  </si>
  <si>
    <t>Aorta and large arteries</t>
  </si>
  <si>
    <t>small arteries</t>
  </si>
  <si>
    <t>Capillaries</t>
  </si>
  <si>
    <t>Small veins</t>
  </si>
  <si>
    <t>Large veins</t>
  </si>
  <si>
    <t>total</t>
  </si>
  <si>
    <t>sources</t>
  </si>
  <si>
    <r>
      <t xml:space="preserve">Snyder WS (1975) </t>
    </r>
    <r>
      <rPr>
        <i/>
        <sz val="11"/>
        <color theme="1"/>
        <rFont val="Calibri"/>
        <family val="2"/>
      </rPr>
      <t>Report of the Task Group on Reference Man</t>
    </r>
  </si>
  <si>
    <r>
      <t xml:space="preserve">Leggett RW, Williamst LR (1991) Blood Volumes in Humans. </t>
    </r>
    <r>
      <rPr>
        <i/>
        <sz val="11"/>
        <color theme="1"/>
        <rFont val="Calibri"/>
        <family val="2"/>
      </rPr>
      <t>Health Phys</t>
    </r>
    <r>
      <rPr>
        <sz val="11"/>
        <color theme="1"/>
        <rFont val="Calibri"/>
        <family val="2"/>
      </rPr>
      <t xml:space="preserve"> 60(2):139–154.</t>
    </r>
  </si>
  <si>
    <r>
      <t xml:space="preserve">Burton C (1954) Relation of Structure to function of the wall of blood vessels. </t>
    </r>
    <r>
      <rPr>
        <i/>
        <sz val="11"/>
        <color theme="1"/>
        <rFont val="Calibri"/>
        <family val="2"/>
      </rPr>
      <t>Physiol Rev</t>
    </r>
    <r>
      <rPr>
        <sz val="11"/>
        <color theme="1"/>
        <rFont val="Calibri"/>
        <family val="2"/>
      </rPr>
      <t xml:space="preserve"> 34:619–642.</t>
    </r>
  </si>
  <si>
    <t xml:space="preserve">Félétou M (2011) The endothelium: Part 1: multiple functions of the endothelial cells—focus on endothelium-derived vasoactive mediators. </t>
  </si>
  <si>
    <t>surface area (mu^2)</t>
  </si>
  <si>
    <t>value</t>
  </si>
  <si>
    <t>SD</t>
  </si>
  <si>
    <t>mass (pg)</t>
  </si>
  <si>
    <t>total mass</t>
  </si>
  <si>
    <t>ICRP89</t>
  </si>
  <si>
    <t>Wolinsky, 1980</t>
  </si>
  <si>
    <t>Rothe, 1983</t>
  </si>
  <si>
    <t>ICRP 2002</t>
  </si>
  <si>
    <t>Hobson and Denekamp, 1984</t>
  </si>
  <si>
    <t>Kliche et al., 2011</t>
  </si>
  <si>
    <t>animal</t>
  </si>
  <si>
    <t>source</t>
  </si>
  <si>
    <t>tissue</t>
  </si>
  <si>
    <t>labeling index</t>
  </si>
  <si>
    <t>heart</t>
  </si>
  <si>
    <t>Lauk and Trott, 1990</t>
  </si>
  <si>
    <t>labeling index SD</t>
  </si>
  <si>
    <t>calculated lifespan [days]</t>
  </si>
  <si>
    <t>delta</t>
  </si>
  <si>
    <t>human</t>
  </si>
  <si>
    <t>Bergmann et al., 2015</t>
  </si>
  <si>
    <t>brain</t>
  </si>
  <si>
    <t>muscle</t>
  </si>
  <si>
    <t>jejunum</t>
  </si>
  <si>
    <t>skin</t>
  </si>
  <si>
    <t>kindy</t>
  </si>
  <si>
    <t>lung</t>
  </si>
  <si>
    <t>liver</t>
  </si>
  <si>
    <t>bladder</t>
  </si>
  <si>
    <t>mesentery</t>
  </si>
  <si>
    <t>1h</t>
  </si>
  <si>
    <t>7d</t>
  </si>
  <si>
    <t>3d</t>
  </si>
  <si>
    <t>v</t>
  </si>
  <si>
    <t>mouse</t>
  </si>
  <si>
    <t>rat</t>
  </si>
  <si>
    <t>Vessel type</t>
  </si>
  <si>
    <t>Sum</t>
  </si>
  <si>
    <t>Average</t>
  </si>
  <si>
    <t>Running Total</t>
  </si>
  <si>
    <t>Count</t>
  </si>
  <si>
    <t>% of volume - Rothe, 1983</t>
  </si>
  <si>
    <t>% of volume - ICRP, 2002</t>
  </si>
  <si>
    <t>min diameter (cm)</t>
  </si>
  <si>
    <t xml:space="preserve">Burton C. Relation of Structure of the Wall. Physiol Rev. 1954;34: 619–642. </t>
  </si>
  <si>
    <t>Rothe CF. Venous System: Physiology of the Capacitance Vessels. In: Shepherd, J.T. A, F.M, editors. Handbook of Physiology, Section 2: The Cardiovascular System, Vol III, Peripheral Circulation and Organ Blood Flow. Bethesda, MD, USA: American Physiological Society; 1983. pp. 397–452. doi:10.1002/cphy.cp020313</t>
  </si>
  <si>
    <t>ICRP. Basic anatomical and physiological data for use in radiological protection: reference values. ICRP Publication 89 [Internet]. Annals of the ICRP. Pergamon; 2002. doi:10.1016/S0146-6453(03)00002-2</t>
  </si>
  <si>
    <t>sourcs:</t>
  </si>
  <si>
    <t>length</t>
  </si>
  <si>
    <t>parameter</t>
  </si>
  <si>
    <t>width</t>
  </si>
  <si>
    <t>depth</t>
  </si>
  <si>
    <t>units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</si>
  <si>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77"/>
      </rPr>
      <t>m</t>
    </r>
  </si>
  <si>
    <t>Félétou M. The endothelium: Part 1: multiple functions of the endothelial cells—focus on endothelium-derived vasoactive mediators [Internet]. San Rafael, CA: Morgan &amp; Claypool Life Sciences; 2011. Available: http://europepmc.org/abstract/MED/21850763</t>
  </si>
  <si>
    <t>max diameter (cm)</t>
  </si>
  <si>
    <t>mice</t>
  </si>
  <si>
    <t>soruce</t>
  </si>
  <si>
    <t>comment</t>
  </si>
  <si>
    <t>given as 16% turnover per year</t>
  </si>
  <si>
    <t>taken from 3d labeling calculation</t>
  </si>
  <si>
    <t>specie</t>
  </si>
  <si>
    <t>calculated lifespan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</si>
</sst>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E+00"/>
    <numFmt numFmtId="165" formatCode="0E+00"/>
    <numFmt numFmtId="166" formatCode="0.0"/>
    <numFmt numFmtId="167" formatCode="0.0%"/>
    <numFmt numFmtId="171" formatCode="0.0000%"/>
  </numFmts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7"/>
    </font>
    <font>
      <b/>
      <sz val="11"/>
      <color theme="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0" borderId="1" xfId="0" applyFont="1" applyFill="1" applyBorder="1"/>
    <xf numFmtId="0" fontId="5" fillId="0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0" borderId="4" xfId="0" applyFont="1" applyFill="1" applyBorder="1"/>
    <xf numFmtId="9" fontId="4" fillId="0" borderId="5" xfId="1" applyFont="1" applyFill="1" applyBorder="1"/>
    <xf numFmtId="1" fontId="0" fillId="0" borderId="5" xfId="0" applyNumberFormat="1" applyBorder="1"/>
    <xf numFmtId="0" fontId="0" fillId="0" borderId="5" xfId="0" applyNumberFormat="1" applyBorder="1"/>
    <xf numFmtId="2" fontId="0" fillId="0" borderId="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2" borderId="5" xfId="0" applyNumberFormat="1" applyFill="1" applyBorder="1"/>
    <xf numFmtId="165" fontId="0" fillId="0" borderId="5" xfId="0" applyNumberFormat="1" applyBorder="1"/>
    <xf numFmtId="0" fontId="4" fillId="0" borderId="7" xfId="0" applyFont="1" applyFill="1" applyBorder="1"/>
    <xf numFmtId="9" fontId="4" fillId="0" borderId="8" xfId="1" applyFont="1" applyFill="1" applyBorder="1"/>
    <xf numFmtId="0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5" fillId="3" borderId="9" xfId="0" applyFont="1" applyFill="1" applyBorder="1"/>
    <xf numFmtId="0" fontId="4" fillId="3" borderId="10" xfId="0" applyFont="1" applyFill="1" applyBorder="1"/>
    <xf numFmtId="0" fontId="0" fillId="3" borderId="10" xfId="0" applyFill="1" applyBorder="1"/>
    <xf numFmtId="164" fontId="2" fillId="3" borderId="11" xfId="0" applyNumberFormat="1" applyFont="1" applyFill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6" fillId="0" borderId="15" xfId="0" applyFont="1" applyBorder="1" applyAlignment="1">
      <alignment horizontal="left" vertical="center" indent="3"/>
    </xf>
    <xf numFmtId="0" fontId="0" fillId="0" borderId="0" xfId="0" applyBorder="1"/>
    <xf numFmtId="0" fontId="0" fillId="0" borderId="16" xfId="0" applyBorder="1"/>
    <xf numFmtId="0" fontId="6" fillId="0" borderId="17" xfId="0" applyFont="1" applyBorder="1" applyAlignment="1">
      <alignment horizontal="left" vertical="center" indent="3"/>
    </xf>
    <xf numFmtId="0" fontId="0" fillId="0" borderId="18" xfId="0" applyBorder="1"/>
    <xf numFmtId="0" fontId="0" fillId="0" borderId="19" xfId="0" applyBorder="1"/>
    <xf numFmtId="0" fontId="0" fillId="0" borderId="0" xfId="0" applyNumberFormat="1"/>
    <xf numFmtId="0" fontId="2" fillId="0" borderId="0" xfId="0" applyFont="1" applyFill="1" applyBorder="1" applyAlignment="1">
      <alignment wrapText="1"/>
    </xf>
    <xf numFmtId="166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5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1" fontId="0" fillId="0" borderId="0" xfId="0" applyNumberFormat="1" applyAlignment="1">
      <alignment horizontal="center" vertical="center"/>
    </xf>
    <xf numFmtId="0" fontId="0" fillId="0" borderId="5" xfId="0" applyBorder="1"/>
    <xf numFmtId="0" fontId="4" fillId="0" borderId="5" xfId="0" applyFont="1" applyFill="1" applyBorder="1"/>
    <xf numFmtId="167" fontId="0" fillId="0" borderId="5" xfId="0" applyNumberFormat="1" applyBorder="1"/>
    <xf numFmtId="167" fontId="0" fillId="0" borderId="5" xfId="1" applyNumberFormat="1" applyFont="1" applyBorder="1"/>
    <xf numFmtId="171" fontId="0" fillId="0" borderId="0" xfId="0" applyNumberFormat="1"/>
    <xf numFmtId="0" fontId="4" fillId="0" borderId="0" xfId="0" applyFont="1" applyFill="1" applyBorder="1"/>
    <xf numFmtId="167" fontId="0" fillId="0" borderId="0" xfId="0" applyNumberFormat="1" applyBorder="1"/>
    <xf numFmtId="9" fontId="4" fillId="0" borderId="0" xfId="1" applyFont="1" applyFill="1" applyBorder="1"/>
    <xf numFmtId="167" fontId="0" fillId="0" borderId="0" xfId="1" applyNumberFormat="1" applyFont="1" applyBorder="1"/>
    <xf numFmtId="0" fontId="1" fillId="0" borderId="0" xfId="0" applyFont="1" applyAlignment="1">
      <alignment horizontal="left" vertical="center"/>
    </xf>
    <xf numFmtId="0" fontId="6" fillId="0" borderId="0" xfId="0" applyFont="1"/>
    <xf numFmtId="0" fontId="10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 applyBorder="1"/>
    <xf numFmtId="0" fontId="8" fillId="0" borderId="0" xfId="0" applyFont="1" applyFill="1" applyBorder="1"/>
    <xf numFmtId="0" fontId="8" fillId="0" borderId="0" xfId="0" applyFont="1" applyFill="1"/>
  </cellXfs>
  <cellStyles count="2">
    <cellStyle name="Normal" xfId="0" builtinId="0"/>
    <cellStyle name="Percent" xfId="1" builtinId="5"/>
  </cellStyles>
  <dxfs count="17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7" formatCode="0.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boxWhisker" uniqueId="{9F2F6C20-67F1-41BE-8CDA-1D0F5752E51D}">
          <cx:dataId val="0"/>
          <cx:layoutPr>
            <cx:statistics quartileMethod="exclusive"/>
          </cx:layoutPr>
        </cx:series>
        <cx:series layoutId="boxWhisker" uniqueId="{AFC11F21-16B3-499C-85EE-BB6181623E97}">
          <cx:dataId val="1"/>
          <cx:layoutPr>
            <cx:statistics quartileMethod="exclusive"/>
          </cx:layoutPr>
        </cx:series>
        <cx:series layoutId="boxWhisker" uniqueId="{5AF55833-9D79-41DF-80BF-ABBFA4BCA98D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microsoft.com/office/2014/relationships/chartEx" Target="../charts/chartEx1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41272</xdr:colOff>
      <xdr:row>2</xdr:row>
      <xdr:rowOff>123824</xdr:rowOff>
    </xdr:from>
    <xdr:to>
      <xdr:col>25</xdr:col>
      <xdr:colOff>386704</xdr:colOff>
      <xdr:row>16</xdr:row>
      <xdr:rowOff>156882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9537" y="516030"/>
          <a:ext cx="7472373" cy="3193117"/>
        </a:xfrm>
        <a:prstGeom prst="rect">
          <a:avLst/>
        </a:prstGeom>
      </xdr:spPr>
    </xdr:pic>
    <xdr:clientData/>
  </xdr:twoCellAnchor>
  <xdr:twoCellAnchor editAs="oneCell">
    <xdr:from>
      <xdr:col>13</xdr:col>
      <xdr:colOff>504264</xdr:colOff>
      <xdr:row>40</xdr:row>
      <xdr:rowOff>168088</xdr:rowOff>
    </xdr:from>
    <xdr:to>
      <xdr:col>24</xdr:col>
      <xdr:colOff>490566</xdr:colOff>
      <xdr:row>74</xdr:row>
      <xdr:rowOff>52993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2529" y="8303559"/>
          <a:ext cx="6519331" cy="6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108858</xdr:colOff>
      <xdr:row>46</xdr:row>
      <xdr:rowOff>167287</xdr:rowOff>
    </xdr:from>
    <xdr:to>
      <xdr:col>20</xdr:col>
      <xdr:colOff>97616</xdr:colOff>
      <xdr:row>66</xdr:row>
      <xdr:rowOff>87338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1" y="9447358"/>
          <a:ext cx="7336615" cy="37300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</xdr:row>
      <xdr:rowOff>28575</xdr:rowOff>
    </xdr:from>
    <xdr:to>
      <xdr:col>18</xdr:col>
      <xdr:colOff>285092</xdr:colOff>
      <xdr:row>29</xdr:row>
      <xdr:rowOff>56480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3875" y="219075"/>
          <a:ext cx="5266667" cy="53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85723</xdr:colOff>
      <xdr:row>30</xdr:row>
      <xdr:rowOff>7455</xdr:rowOff>
    </xdr:from>
    <xdr:to>
      <xdr:col>14</xdr:col>
      <xdr:colOff>364265</xdr:colOff>
      <xdr:row>60</xdr:row>
      <xdr:rowOff>6741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2810" y="5722455"/>
          <a:ext cx="4693172" cy="57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284509</xdr:colOff>
      <xdr:row>30</xdr:row>
      <xdr:rowOff>98978</xdr:rowOff>
    </xdr:from>
    <xdr:to>
      <xdr:col>23</xdr:col>
      <xdr:colOff>156624</xdr:colOff>
      <xdr:row>52</xdr:row>
      <xdr:rowOff>12740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93313" y="5813978"/>
          <a:ext cx="6001246" cy="41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55</xdr:row>
      <xdr:rowOff>142875</xdr:rowOff>
    </xdr:from>
    <xdr:to>
      <xdr:col>26</xdr:col>
      <xdr:colOff>151731</xdr:colOff>
      <xdr:row>69</xdr:row>
      <xdr:rowOff>171113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0" y="10620375"/>
          <a:ext cx="5352381" cy="2695238"/>
        </a:xfrm>
        <a:prstGeom prst="rect">
          <a:avLst/>
        </a:prstGeom>
      </xdr:spPr>
    </xdr:pic>
    <xdr:clientData/>
  </xdr:twoCellAnchor>
  <xdr:twoCellAnchor>
    <xdr:from>
      <xdr:col>5</xdr:col>
      <xdr:colOff>231914</xdr:colOff>
      <xdr:row>22</xdr:row>
      <xdr:rowOff>132521</xdr:rowOff>
    </xdr:from>
    <xdr:to>
      <xdr:col>11</xdr:col>
      <xdr:colOff>588066</xdr:colOff>
      <xdr:row>40</xdr:row>
      <xdr:rowOff>46382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se/Dropbox/&#1489;&#1497;&#1493;&#1500;&#1493;&#1490;&#1497;&#1492;/Human%20Cells/Writing/Submissions/PLOS%20Biology/Revision%20Files/Final%20submission/S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otalBacteria"/>
      <sheetName val="BacterialConc"/>
      <sheetName val="ColonContent"/>
      <sheetName val="B2HRatio"/>
      <sheetName val="DailyFecal"/>
      <sheetName val="CTT"/>
      <sheetName val="AvBacteriaSize"/>
      <sheetName val="HumanCellsSummary"/>
      <sheetName val="HumanNucCellsSummary"/>
      <sheetName val="TissuesMass"/>
      <sheetName val="RBC#"/>
      <sheetName val="BloodVol"/>
      <sheetName val="RBCcount"/>
      <sheetName val="DermalFib"/>
      <sheetName val="Endothl"/>
      <sheetName val="PopulationSegments"/>
      <sheetName val="GenderEffect"/>
      <sheetName val="AgeEffect"/>
      <sheetName val="Obesity"/>
      <sheetName val="Bianconi,2013"/>
      <sheetName val="HumanCell#ByDNA"/>
    </sheetNames>
    <sheetDataSet>
      <sheetData sheetId="0" refreshError="1"/>
      <sheetData sheetId="1" refreshError="1"/>
      <sheetData sheetId="2">
        <row r="5">
          <cell r="O5">
            <v>0.26556136484015924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ables/table1.xml><?xml version="1.0" encoding="utf-8"?>
<table xmlns="http://schemas.openxmlformats.org/spreadsheetml/2006/main" id="5" name="Table5" displayName="Table5" ref="A1:E6" totalsRowShown="0">
  <autoFilter ref="A1:E6"/>
  <tableColumns count="5">
    <tableColumn id="1" name="Vessel type" dataDxfId="7"/>
    <tableColumn id="3" name="% of volume - ICRP, 2002" dataDxfId="6" dataCellStyle="Percent"/>
    <tableColumn id="4" name="% of volume - Rothe, 1983" dataDxfId="5"/>
    <tableColumn id="5" name="min diameter (cm)"/>
    <tableColumn id="6" name="max diameter (c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D4" totalsRowShown="0">
  <autoFilter ref="A1:D4"/>
  <tableColumns count="4">
    <tableColumn id="1" name="parameter"/>
    <tableColumn id="4" name="units"/>
    <tableColumn id="2" name="value"/>
    <tableColumn id="3" name="S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E11" totalsRowShown="0" headerRowDxfId="1">
  <autoFilter ref="A1:E11"/>
  <tableColumns count="5">
    <tableColumn id="1" name="specie" dataDxfId="4"/>
    <tableColumn id="2" name="tissue" dataDxfId="3"/>
    <tableColumn id="3" name="calculated lifespan (days)" dataDxfId="2"/>
    <tableColumn id="4" name="soruce" dataDxfId="0"/>
    <tableColumn id="5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G4" totalsRowShown="0">
  <autoFilter ref="A1:G4"/>
  <tableColumns count="7">
    <tableColumn id="1" name="source"/>
    <tableColumn id="2" name="animal"/>
    <tableColumn id="3" name="tissue"/>
    <tableColumn id="4" name="labeling index"/>
    <tableColumn id="5" name="labeling index SD"/>
    <tableColumn id="6" name="calculated lifespan [days]" dataDxfId="13">
      <calculatedColumnFormula>LN(2)*10/Table1[[#This Row],[labeling index]]/24</calculatedColumnFormula>
    </tableColumn>
    <tableColumn id="7" name="delta" dataDxfId="12">
      <calculatedColumnFormula>SQRT(SUMSQ(LN(2)*2/Table1[[#This Row],[labeling index]]/24,LN(2)*11*Table1[[#This Row],[labeling index SD]]/(Table1[[#This Row],[labeling index]]^2)/24))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9:E19" totalsRowShown="0">
  <autoFilter ref="B9:E19"/>
  <tableColumns count="4">
    <tableColumn id="1" name="tissue"/>
    <tableColumn id="2" name="1h" dataDxfId="16" dataCellStyle="Percent"/>
    <tableColumn id="3" name="7d" dataDxfId="15" dataCellStyle="Percent"/>
    <tableColumn id="4" name="3d" dataDxfId="14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F9:H19" totalsRowShown="0" dataDxfId="8">
  <autoFilter ref="F9:H19"/>
  <tableColumns count="3">
    <tableColumn id="1" name="1h" dataDxfId="11">
      <calculatedColumnFormula>0.693*11/Table2[[#This Row],[1h]]/24</calculatedColumnFormula>
    </tableColumn>
    <tableColumn id="2" name="7d" dataDxfId="10">
      <calculatedColumnFormula>7*(1-Table2[[#This Row],[1h]])/(Table2[[#This Row],[7d]]-Table2[[#This Row],[1h]])+11/24</calculatedColumnFormula>
    </tableColumn>
    <tableColumn id="3" name="3d" dataDxfId="9">
      <calculatedColumnFormula>3*(1-Table2[[#This Row],[1h]])/(Table2[[#This Row],[3d]]-Table2[[#This Row],[1h]])+11/24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FE09B"/>
  </sheetPr>
  <dimension ref="A1:AE40"/>
  <sheetViews>
    <sheetView topLeftCell="A13" zoomScaleNormal="100" workbookViewId="0">
      <selection activeCell="F27" sqref="F27"/>
    </sheetView>
  </sheetViews>
  <sheetFormatPr defaultColWidth="8.85546875" defaultRowHeight="15"/>
  <cols>
    <col min="1" max="1" width="20" bestFit="1" customWidth="1"/>
    <col min="2" max="2" width="11.42578125" bestFit="1" customWidth="1"/>
    <col min="4" max="4" width="9" customWidth="1"/>
    <col min="5" max="5" width="12.42578125" customWidth="1"/>
    <col min="6" max="6" width="10.140625" customWidth="1"/>
    <col min="7" max="7" width="11.42578125" customWidth="1"/>
    <col min="8" max="8" width="12.140625" customWidth="1"/>
    <col min="9" max="10" width="11.28515625" bestFit="1" customWidth="1"/>
  </cols>
  <sheetData>
    <row r="1" spans="1:31">
      <c r="A1" s="1" t="s">
        <v>0</v>
      </c>
    </row>
    <row r="2" spans="1:31" ht="15.75" thickBot="1">
      <c r="B2" t="s">
        <v>1</v>
      </c>
      <c r="C2">
        <v>5200</v>
      </c>
      <c r="D2" t="s">
        <v>2</v>
      </c>
      <c r="O2" t="s">
        <v>28</v>
      </c>
      <c r="AE2" t="s">
        <v>30</v>
      </c>
    </row>
    <row r="3" spans="1:31" ht="50.25" customHeight="1">
      <c r="A3" s="2"/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L3" s="34" t="s">
        <v>26</v>
      </c>
    </row>
    <row r="4" spans="1:31">
      <c r="A4" s="6" t="s">
        <v>11</v>
      </c>
      <c r="B4" s="7">
        <v>7.0000000000000007E-2</v>
      </c>
      <c r="C4" s="8">
        <f>B4*$C$2</f>
        <v>364.00000000000006</v>
      </c>
      <c r="D4" s="9">
        <v>0.4</v>
      </c>
      <c r="E4" s="10">
        <f>PI()*(D4/2)^2</f>
        <v>0.12566370614359174</v>
      </c>
      <c r="F4" s="8">
        <f>C4/E4</f>
        <v>2896.6199642724955</v>
      </c>
      <c r="G4" s="11">
        <f>F4*PI()*D4</f>
        <v>3640</v>
      </c>
      <c r="H4" s="38">
        <v>83333.333333333328</v>
      </c>
      <c r="I4" s="12">
        <f>G4*$H$4</f>
        <v>303333333.33333331</v>
      </c>
      <c r="J4">
        <v>180</v>
      </c>
      <c r="K4">
        <f>B4*$C$2</f>
        <v>364.00000000000006</v>
      </c>
      <c r="L4" s="35">
        <f>I4*$B$25/10^12</f>
        <v>0.36399999999999999</v>
      </c>
    </row>
    <row r="5" spans="1:31">
      <c r="A5" s="6" t="s">
        <v>12</v>
      </c>
      <c r="B5" s="7">
        <v>0.12</v>
      </c>
      <c r="C5" s="8">
        <f>B5*$C$2</f>
        <v>624</v>
      </c>
      <c r="D5" s="13">
        <v>3.0000000000000001E-3</v>
      </c>
      <c r="E5" s="11">
        <f>PI()*(D5/2)^2</f>
        <v>7.0685834705770344E-6</v>
      </c>
      <c r="F5" s="14">
        <f>C5/E5</f>
        <v>88277941.768304616</v>
      </c>
      <c r="G5" s="11">
        <f>F5*PI()*D5</f>
        <v>832000</v>
      </c>
      <c r="H5" s="38"/>
      <c r="I5" s="12">
        <f>G5*$H$4</f>
        <v>69333333333.333328</v>
      </c>
      <c r="J5">
        <v>500</v>
      </c>
      <c r="K5">
        <f>B5*$C$2</f>
        <v>624</v>
      </c>
      <c r="L5" s="35">
        <f t="shared" ref="L5:L9" si="0">I5*$B$25/10^12</f>
        <v>83.2</v>
      </c>
    </row>
    <row r="6" spans="1:31">
      <c r="A6" s="6" t="s">
        <v>13</v>
      </c>
      <c r="B6" s="7">
        <v>7.0000000000000007E-2</v>
      </c>
      <c r="C6" s="8">
        <f>B6*$C$2</f>
        <v>364.00000000000006</v>
      </c>
      <c r="D6" s="11">
        <v>7.5000000000000002E-4</v>
      </c>
      <c r="E6" s="11">
        <f>PI()*(D6/2)^2</f>
        <v>4.4178646691106465E-7</v>
      </c>
      <c r="F6" s="14">
        <f>C6/E6</f>
        <v>823927456.50417662</v>
      </c>
      <c r="G6" s="11">
        <f>F6*PI()*D6</f>
        <v>1941333.333333334</v>
      </c>
      <c r="H6" s="38"/>
      <c r="I6" s="12">
        <f>G6*$H$4</f>
        <v>161777777777.77783</v>
      </c>
      <c r="J6">
        <v>280</v>
      </c>
      <c r="K6">
        <f>B6*$C$2</f>
        <v>364.00000000000006</v>
      </c>
      <c r="L6" s="35">
        <f t="shared" si="0"/>
        <v>194.13333333333341</v>
      </c>
    </row>
    <row r="7" spans="1:31">
      <c r="A7" s="6" t="s">
        <v>14</v>
      </c>
      <c r="B7" s="7">
        <v>0.45166666666666666</v>
      </c>
      <c r="C7" s="8">
        <f>B7*$C$2</f>
        <v>2348.6666666666665</v>
      </c>
      <c r="D7" s="11">
        <v>2E-3</v>
      </c>
      <c r="E7" s="11">
        <f>PI()*(D7/2)^2</f>
        <v>3.1415926535897929E-6</v>
      </c>
      <c r="F7" s="14">
        <f>C7/E7</f>
        <v>747603819.35032976</v>
      </c>
      <c r="G7" s="11">
        <f>F7*PI()*D7</f>
        <v>4697333.333333334</v>
      </c>
      <c r="H7" s="38"/>
      <c r="I7" s="12">
        <f>G7*$H$4</f>
        <v>391444444444.44446</v>
      </c>
      <c r="J7">
        <v>300</v>
      </c>
      <c r="K7">
        <f>B7*$C$2</f>
        <v>2348.6666666666665</v>
      </c>
      <c r="L7" s="35">
        <f t="shared" si="0"/>
        <v>469.73333333333335</v>
      </c>
    </row>
    <row r="8" spans="1:31" ht="15.75" thickBot="1">
      <c r="A8" s="15" t="s">
        <v>15</v>
      </c>
      <c r="B8" s="16">
        <v>0.19833333333333333</v>
      </c>
      <c r="C8" s="8">
        <f>B8*$C$2</f>
        <v>1031.3333333333333</v>
      </c>
      <c r="D8" s="17">
        <v>0.5</v>
      </c>
      <c r="E8" s="18">
        <f>PI()*(D8/2)^2</f>
        <v>0.19634954084936207</v>
      </c>
      <c r="F8" s="19">
        <f>C8/E8</f>
        <v>5252.5375352141245</v>
      </c>
      <c r="G8" s="18">
        <f>F8*PI()*D8</f>
        <v>8250.6666666666661</v>
      </c>
      <c r="H8" s="39"/>
      <c r="I8" s="12">
        <f>G8*$H$4</f>
        <v>687555555.55555546</v>
      </c>
      <c r="J8">
        <v>2600</v>
      </c>
      <c r="K8">
        <f>B8*$C$2</f>
        <v>1031.3333333333333</v>
      </c>
      <c r="L8" s="35">
        <f t="shared" si="0"/>
        <v>0.8250666666666665</v>
      </c>
    </row>
    <row r="9" spans="1:31" ht="15.75" thickBot="1">
      <c r="A9" s="20" t="s">
        <v>16</v>
      </c>
      <c r="B9" s="21"/>
      <c r="C9" s="22"/>
      <c r="D9" s="22"/>
      <c r="E9" s="22"/>
      <c r="F9" s="22"/>
      <c r="G9" s="22"/>
      <c r="H9" s="22"/>
      <c r="I9" s="23">
        <f>SUM(I4:I8)</f>
        <v>623546444444.44446</v>
      </c>
      <c r="L9" s="35">
        <f t="shared" si="0"/>
        <v>748.25573333333341</v>
      </c>
    </row>
    <row r="10" spans="1:31" ht="15.75" thickBot="1"/>
    <row r="11" spans="1:31">
      <c r="A11" s="24" t="s">
        <v>17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</row>
    <row r="12" spans="1:31">
      <c r="A12" s="27" t="s">
        <v>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</row>
    <row r="13" spans="1:31">
      <c r="A13" s="27" t="s">
        <v>19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31">
      <c r="A14" s="27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/>
    </row>
    <row r="15" spans="1:31" ht="15.75" thickBot="1">
      <c r="A15" s="30" t="s">
        <v>21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2"/>
    </row>
    <row r="17" spans="1:18">
      <c r="O17" t="s">
        <v>29</v>
      </c>
    </row>
    <row r="18" spans="1:18">
      <c r="B18">
        <f>8*7.5*10^5</f>
        <v>6000000</v>
      </c>
    </row>
    <row r="19" spans="1:18">
      <c r="B19">
        <f>6*10^-3*2*10^-3</f>
        <v>1.2E-5</v>
      </c>
      <c r="H19" s="33"/>
    </row>
    <row r="20" spans="1:18">
      <c r="B20">
        <f>B18/B19</f>
        <v>500000000000</v>
      </c>
      <c r="J20" t="s">
        <v>27</v>
      </c>
    </row>
    <row r="21" spans="1:18">
      <c r="B21">
        <f>B20*PI()</f>
        <v>1570796326794.8965</v>
      </c>
    </row>
    <row r="23" spans="1:18">
      <c r="B23" t="s">
        <v>23</v>
      </c>
      <c r="C23" t="s">
        <v>24</v>
      </c>
    </row>
    <row r="24" spans="1:18">
      <c r="A24" t="s">
        <v>22</v>
      </c>
      <c r="B24">
        <f>1200</f>
        <v>1200</v>
      </c>
      <c r="C24">
        <v>200</v>
      </c>
    </row>
    <row r="25" spans="1:18">
      <c r="A25" t="s">
        <v>25</v>
      </c>
      <c r="B25">
        <f>B24*1</f>
        <v>1200</v>
      </c>
      <c r="C25">
        <v>200</v>
      </c>
    </row>
    <row r="27" spans="1:18">
      <c r="M27">
        <v>10</v>
      </c>
      <c r="N27">
        <v>1</v>
      </c>
      <c r="O27">
        <v>400</v>
      </c>
      <c r="P27" s="35">
        <f>O27*PI()*(M27/2)^2/1000*N27</f>
        <v>31.415926535897931</v>
      </c>
      <c r="Q27">
        <v>2</v>
      </c>
      <c r="R27">
        <f>P27*100/Q27</f>
        <v>1570.7963267948965</v>
      </c>
    </row>
    <row r="28" spans="1:18">
      <c r="M28">
        <v>3</v>
      </c>
      <c r="N28">
        <v>40</v>
      </c>
      <c r="O28">
        <v>200</v>
      </c>
      <c r="P28" s="35">
        <f>O28*PI()*(M28/2)^2/1000*N28</f>
        <v>56.548667764616276</v>
      </c>
      <c r="Q28">
        <v>4</v>
      </c>
      <c r="R28">
        <f>P28*100/Q28</f>
        <v>1413.7166941154069</v>
      </c>
    </row>
    <row r="29" spans="1:18">
      <c r="J29" s="36"/>
      <c r="M29">
        <v>1</v>
      </c>
      <c r="N29">
        <v>600</v>
      </c>
    </row>
    <row r="30" spans="1:18">
      <c r="M30">
        <v>0.6</v>
      </c>
      <c r="N30">
        <v>1800</v>
      </c>
    </row>
    <row r="31" spans="1:18">
      <c r="M31">
        <v>1.9E-2</v>
      </c>
      <c r="N31">
        <v>40</v>
      </c>
    </row>
    <row r="32" spans="1:18">
      <c r="M32">
        <v>7.0000000000000001E-3</v>
      </c>
      <c r="N32">
        <v>400</v>
      </c>
    </row>
    <row r="33" spans="1:18">
      <c r="M33">
        <v>3.7000000000000002E-3</v>
      </c>
    </row>
    <row r="34" spans="1:18">
      <c r="M34">
        <v>7.3000000000000001E-3</v>
      </c>
    </row>
    <row r="35" spans="1:18">
      <c r="A35" s="43"/>
      <c r="B35" s="43" t="s">
        <v>29</v>
      </c>
      <c r="C35" s="43" t="s">
        <v>30</v>
      </c>
      <c r="M35">
        <v>2.1000000000000001E-2</v>
      </c>
    </row>
    <row r="36" spans="1:18">
      <c r="A36" s="44" t="s">
        <v>11</v>
      </c>
      <c r="B36" s="45">
        <v>0.11</v>
      </c>
      <c r="C36" s="7">
        <v>0.06</v>
      </c>
      <c r="E36" s="47">
        <f>B36*SUM($C$36:$C$40)</f>
        <v>0.10009999999999999</v>
      </c>
      <c r="M36">
        <v>3.6999999999999998E-2</v>
      </c>
    </row>
    <row r="37" spans="1:18">
      <c r="A37" s="44" t="s">
        <v>12</v>
      </c>
      <c r="B37" s="45">
        <v>3.6999999999999998E-2</v>
      </c>
      <c r="C37" s="7">
        <v>0.13</v>
      </c>
      <c r="E37" s="47">
        <f>B37*SUM($C$36:$C$40)</f>
        <v>3.3669999999999999E-2</v>
      </c>
      <c r="M37">
        <v>2.4</v>
      </c>
      <c r="N37">
        <v>600</v>
      </c>
      <c r="O37">
        <v>100</v>
      </c>
      <c r="P37" s="35">
        <f>O37*PI()*(M37/2)^2/1000*N37</f>
        <v>271.43360527015813</v>
      </c>
      <c r="Q37">
        <v>18.600000000000001</v>
      </c>
      <c r="R37">
        <f>P37*100/Q37</f>
        <v>1459.3204584417101</v>
      </c>
    </row>
    <row r="38" spans="1:18">
      <c r="A38" s="44" t="s">
        <v>13</v>
      </c>
      <c r="B38" s="45">
        <v>3.9E-2</v>
      </c>
      <c r="C38" s="7">
        <v>7.0000000000000007E-2</v>
      </c>
      <c r="E38" s="47">
        <f t="shared" ref="E38:E40" si="1">B38*SUM($C$36:$C$40)</f>
        <v>3.5489999999999994E-2</v>
      </c>
      <c r="M38">
        <v>6</v>
      </c>
    </row>
    <row r="39" spans="1:18">
      <c r="A39" s="44" t="s">
        <v>14</v>
      </c>
      <c r="B39" s="45">
        <f>25.6%+18.6%</f>
        <v>0.44200000000000006</v>
      </c>
      <c r="C39" s="7">
        <v>0.47</v>
      </c>
      <c r="E39" s="47">
        <f t="shared" si="1"/>
        <v>0.40222000000000002</v>
      </c>
      <c r="M39">
        <v>12.5</v>
      </c>
    </row>
    <row r="40" spans="1:18">
      <c r="A40" s="44" t="s">
        <v>15</v>
      </c>
      <c r="B40" s="46">
        <f>18.6%+15.2%+3.4%</f>
        <v>0.372</v>
      </c>
      <c r="C40" s="7">
        <v>0.18</v>
      </c>
      <c r="E40" s="47">
        <f t="shared" si="1"/>
        <v>0.33851999999999999</v>
      </c>
      <c r="P40" t="s">
        <v>29</v>
      </c>
    </row>
  </sheetData>
  <mergeCells count="1">
    <mergeCell ref="H4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9" sqref="H9"/>
    </sheetView>
  </sheetViews>
  <sheetFormatPr defaultRowHeight="15"/>
  <cols>
    <col min="1" max="1" width="13.42578125" customWidth="1"/>
    <col min="2" max="2" width="11.5703125" customWidth="1"/>
    <col min="3" max="5" width="11" customWidth="1"/>
  </cols>
  <sheetData>
    <row r="1" spans="1:8">
      <c r="A1" s="28" t="s">
        <v>59</v>
      </c>
      <c r="B1" s="28" t="s">
        <v>65</v>
      </c>
      <c r="C1" s="28" t="s">
        <v>64</v>
      </c>
      <c r="D1" s="28" t="s">
        <v>66</v>
      </c>
      <c r="E1" t="s">
        <v>78</v>
      </c>
      <c r="H1" s="1" t="s">
        <v>70</v>
      </c>
    </row>
    <row r="2" spans="1:8">
      <c r="A2" s="48" t="s">
        <v>11</v>
      </c>
      <c r="B2" s="50">
        <v>0.06</v>
      </c>
      <c r="C2" s="49">
        <v>0.11</v>
      </c>
      <c r="D2" s="28">
        <v>0.2</v>
      </c>
      <c r="E2">
        <v>0.6</v>
      </c>
      <c r="H2" s="52" t="s">
        <v>67</v>
      </c>
    </row>
    <row r="3" spans="1:8">
      <c r="A3" s="48" t="s">
        <v>12</v>
      </c>
      <c r="B3" s="50">
        <v>0.13</v>
      </c>
      <c r="C3" s="49">
        <v>3.6999999999999998E-2</v>
      </c>
      <c r="D3">
        <v>6.9999999999999999E-4</v>
      </c>
      <c r="E3" s="28">
        <v>3.0000000000000001E-3</v>
      </c>
      <c r="H3" s="52" t="s">
        <v>68</v>
      </c>
    </row>
    <row r="4" spans="1:8">
      <c r="A4" s="48" t="s">
        <v>13</v>
      </c>
      <c r="B4" s="50">
        <v>7.0000000000000007E-2</v>
      </c>
      <c r="C4" s="49">
        <v>3.9E-2</v>
      </c>
      <c r="D4">
        <v>5.0000000000000001E-4</v>
      </c>
      <c r="E4" s="28">
        <v>1E-3</v>
      </c>
      <c r="H4" s="52" t="s">
        <v>69</v>
      </c>
    </row>
    <row r="5" spans="1:8">
      <c r="A5" s="48" t="s">
        <v>14</v>
      </c>
      <c r="B5" s="50">
        <v>0.47</v>
      </c>
      <c r="C5" s="49">
        <f>25.6%+18.6%</f>
        <v>0.44200000000000006</v>
      </c>
      <c r="D5" s="28">
        <v>2E-3</v>
      </c>
      <c r="E5">
        <v>4.0000000000000001E-3</v>
      </c>
    </row>
    <row r="6" spans="1:8">
      <c r="A6" s="48" t="s">
        <v>15</v>
      </c>
      <c r="B6" s="50">
        <v>0.18</v>
      </c>
      <c r="C6" s="51">
        <f>18.6%+15.2%+3.4%</f>
        <v>0.372</v>
      </c>
      <c r="D6" s="28">
        <v>0.5</v>
      </c>
      <c r="E6">
        <v>1</v>
      </c>
    </row>
    <row r="7" spans="1:8">
      <c r="A7" s="28"/>
      <c r="B7" s="28"/>
      <c r="C7" s="28"/>
      <c r="D7" s="28"/>
    </row>
    <row r="8" spans="1:8">
      <c r="A8" s="28"/>
      <c r="B8" s="28"/>
      <c r="C8" s="28"/>
      <c r="D8" s="28"/>
    </row>
    <row r="9" spans="1:8">
      <c r="A9" s="28"/>
      <c r="B9" s="28"/>
      <c r="C9" s="28"/>
      <c r="D9" s="28"/>
    </row>
    <row r="10" spans="1:8">
      <c r="A10" s="28"/>
      <c r="B10" s="28"/>
      <c r="C10" s="28"/>
      <c r="D10" s="28"/>
    </row>
    <row r="11" spans="1:8">
      <c r="A11" s="28"/>
      <c r="B11" s="28"/>
      <c r="C11" s="28"/>
      <c r="D11" s="28"/>
    </row>
    <row r="12" spans="1:8">
      <c r="A12" s="28"/>
      <c r="B12" s="28"/>
      <c r="C12" s="28"/>
      <c r="D12" s="28"/>
    </row>
    <row r="13" spans="1:8">
      <c r="A13" s="28"/>
      <c r="B13" s="28"/>
      <c r="C13" s="28"/>
      <c r="D13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3" sqref="C3"/>
    </sheetView>
  </sheetViews>
  <sheetFormatPr defaultRowHeight="15"/>
  <cols>
    <col min="1" max="1" width="12.42578125" customWidth="1"/>
  </cols>
  <sheetData>
    <row r="1" spans="1:6">
      <c r="A1" t="s">
        <v>72</v>
      </c>
      <c r="B1" t="s">
        <v>75</v>
      </c>
      <c r="C1" t="s">
        <v>23</v>
      </c>
      <c r="D1" t="s">
        <v>24</v>
      </c>
      <c r="F1" s="1" t="s">
        <v>70</v>
      </c>
    </row>
    <row r="2" spans="1:6">
      <c r="A2" t="s">
        <v>71</v>
      </c>
      <c r="B2" s="53" t="s">
        <v>76</v>
      </c>
      <c r="C2">
        <v>60</v>
      </c>
      <c r="D2">
        <v>5</v>
      </c>
      <c r="F2" s="52" t="s">
        <v>67</v>
      </c>
    </row>
    <row r="3" spans="1:6">
      <c r="A3" t="s">
        <v>73</v>
      </c>
      <c r="B3" s="53" t="s">
        <v>76</v>
      </c>
      <c r="C3">
        <v>20</v>
      </c>
      <c r="D3">
        <v>5</v>
      </c>
      <c r="F3" s="52" t="s">
        <v>77</v>
      </c>
    </row>
    <row r="4" spans="1:6">
      <c r="A4" t="s">
        <v>74</v>
      </c>
      <c r="B4" s="53" t="s">
        <v>76</v>
      </c>
      <c r="C4">
        <v>1</v>
      </c>
      <c r="D4">
        <v>0.3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" sqref="C1"/>
    </sheetView>
  </sheetViews>
  <sheetFormatPr defaultRowHeight="15"/>
  <cols>
    <col min="2" max="2" width="14" customWidth="1"/>
    <col min="3" max="3" width="9.42578125" customWidth="1"/>
    <col min="4" max="4" width="27" bestFit="1" customWidth="1"/>
    <col min="5" max="5" width="32.140625" customWidth="1"/>
  </cols>
  <sheetData>
    <row r="1" spans="1:5">
      <c r="A1" s="54" t="s">
        <v>84</v>
      </c>
      <c r="B1" s="54" t="s">
        <v>35</v>
      </c>
      <c r="C1" s="54" t="s">
        <v>85</v>
      </c>
      <c r="D1" s="59" t="s">
        <v>80</v>
      </c>
      <c r="E1" s="60" t="s">
        <v>81</v>
      </c>
    </row>
    <row r="2" spans="1:5">
      <c r="A2" s="56" t="s">
        <v>42</v>
      </c>
      <c r="B2" s="56" t="s">
        <v>37</v>
      </c>
      <c r="C2" s="56">
        <f>1/16%*365</f>
        <v>2281.25</v>
      </c>
      <c r="D2" s="55" t="s">
        <v>43</v>
      </c>
      <c r="E2" t="s">
        <v>82</v>
      </c>
    </row>
    <row r="3" spans="1:5">
      <c r="A3" s="56" t="s">
        <v>79</v>
      </c>
      <c r="B3" s="56" t="s">
        <v>44</v>
      </c>
      <c r="C3" s="57">
        <v>395.03728070175441</v>
      </c>
      <c r="D3" s="55" t="s">
        <v>31</v>
      </c>
      <c r="E3" t="s">
        <v>83</v>
      </c>
    </row>
    <row r="4" spans="1:5">
      <c r="A4" s="56" t="s">
        <v>79</v>
      </c>
      <c r="B4" s="56" t="s">
        <v>45</v>
      </c>
      <c r="C4" s="58">
        <v>652.37137681159425</v>
      </c>
      <c r="D4" s="55" t="s">
        <v>31</v>
      </c>
      <c r="E4" t="s">
        <v>83</v>
      </c>
    </row>
    <row r="5" spans="1:5">
      <c r="A5" s="56" t="s">
        <v>79</v>
      </c>
      <c r="B5" s="56" t="s">
        <v>46</v>
      </c>
      <c r="C5" s="58">
        <v>309.02534364261169</v>
      </c>
      <c r="D5" s="55" t="s">
        <v>31</v>
      </c>
      <c r="E5" t="s">
        <v>83</v>
      </c>
    </row>
    <row r="6" spans="1:5">
      <c r="A6" s="56" t="s">
        <v>79</v>
      </c>
      <c r="B6" s="56" t="s">
        <v>47</v>
      </c>
      <c r="C6" s="58">
        <v>393.85307017543857</v>
      </c>
      <c r="D6" s="55" t="s">
        <v>31</v>
      </c>
      <c r="E6" t="s">
        <v>83</v>
      </c>
    </row>
    <row r="7" spans="1:5">
      <c r="A7" s="56" t="s">
        <v>79</v>
      </c>
      <c r="B7" s="56" t="s">
        <v>37</v>
      </c>
      <c r="C7" s="58">
        <v>203.86649659863946</v>
      </c>
      <c r="D7" s="55" t="s">
        <v>31</v>
      </c>
      <c r="E7" t="s">
        <v>83</v>
      </c>
    </row>
    <row r="8" spans="1:5">
      <c r="A8" s="56" t="s">
        <v>79</v>
      </c>
      <c r="B8" s="56" t="s">
        <v>48</v>
      </c>
      <c r="C8" s="58">
        <v>180.47640562248998</v>
      </c>
      <c r="D8" s="55" t="s">
        <v>31</v>
      </c>
      <c r="E8" t="s">
        <v>83</v>
      </c>
    </row>
    <row r="9" spans="1:5">
      <c r="A9" s="56" t="s">
        <v>79</v>
      </c>
      <c r="B9" s="56" t="s">
        <v>49</v>
      </c>
      <c r="C9" s="58">
        <v>276.37499999999994</v>
      </c>
      <c r="D9" s="55" t="s">
        <v>31</v>
      </c>
      <c r="E9" t="s">
        <v>83</v>
      </c>
    </row>
    <row r="10" spans="1:5">
      <c r="A10" s="56" t="s">
        <v>79</v>
      </c>
      <c r="B10" s="56" t="s">
        <v>50</v>
      </c>
      <c r="C10" s="58">
        <v>80.348413762287734</v>
      </c>
      <c r="D10" s="55" t="s">
        <v>31</v>
      </c>
      <c r="E10" t="s">
        <v>83</v>
      </c>
    </row>
    <row r="11" spans="1:5">
      <c r="A11" s="56" t="s">
        <v>79</v>
      </c>
      <c r="B11" s="56" t="s">
        <v>51</v>
      </c>
      <c r="C11" s="58">
        <v>230.76602564102564</v>
      </c>
      <c r="D11" s="55" t="s">
        <v>31</v>
      </c>
      <c r="E11" t="s">
        <v>83</v>
      </c>
    </row>
    <row r="12" spans="1:5">
      <c r="A12" s="55"/>
      <c r="B12" s="56"/>
      <c r="C12" s="55"/>
      <c r="D12" s="55"/>
    </row>
    <row r="13" spans="1:5">
      <c r="A13" s="55"/>
      <c r="B13" s="55"/>
      <c r="C13" s="55"/>
      <c r="D13" s="5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B1" zoomScale="115" zoomScaleNormal="115" workbookViewId="0">
      <selection activeCell="B10" sqref="B10:B19"/>
    </sheetView>
  </sheetViews>
  <sheetFormatPr defaultRowHeight="15"/>
  <cols>
    <col min="1" max="1" width="21.140625" customWidth="1"/>
    <col min="4" max="4" width="15.7109375" customWidth="1"/>
    <col min="5" max="5" width="17.7109375" customWidth="1"/>
    <col min="6" max="6" width="21" customWidth="1"/>
    <col min="7" max="8" width="11" customWidth="1"/>
  </cols>
  <sheetData>
    <row r="1" spans="1:11">
      <c r="A1" t="s">
        <v>34</v>
      </c>
      <c r="B1" t="s">
        <v>33</v>
      </c>
      <c r="C1" t="s">
        <v>35</v>
      </c>
      <c r="D1" t="s">
        <v>36</v>
      </c>
      <c r="E1" t="s">
        <v>39</v>
      </c>
      <c r="F1" t="s">
        <v>40</v>
      </c>
      <c r="G1" t="s">
        <v>41</v>
      </c>
      <c r="K1" t="s">
        <v>32</v>
      </c>
    </row>
    <row r="2" spans="1:11">
      <c r="A2" t="s">
        <v>38</v>
      </c>
      <c r="B2" t="s">
        <v>58</v>
      </c>
      <c r="C2" t="s">
        <v>37</v>
      </c>
      <c r="D2" s="37">
        <v>3.2000000000000002E-3</v>
      </c>
      <c r="E2" s="41">
        <v>4.0000000000000002E-4</v>
      </c>
      <c r="F2" s="35">
        <f>LN(2)*11/Table1[[#This Row],[labeling index]]/24</f>
        <v>99.278893048950508</v>
      </c>
      <c r="G2" s="36">
        <f>SQRT(SUMSQ(LN(2)*2/Table1[[#This Row],[labeling index]]/24,LN(2)*11*Table1[[#This Row],[labeling index SD]]/(Table1[[#This Row],[labeling index]]^2)/24))</f>
        <v>21.905084313058257</v>
      </c>
      <c r="I2">
        <f>11*LN(2)/(Table1[[#This Row],[labeling index]])^2*Table1[[#This Row],[labeling index SD]]/24/24</f>
        <v>0.51707756796328386</v>
      </c>
    </row>
    <row r="3" spans="1:11">
      <c r="A3" t="s">
        <v>43</v>
      </c>
      <c r="B3" t="s">
        <v>42</v>
      </c>
      <c r="C3" t="s">
        <v>37</v>
      </c>
      <c r="F3">
        <f>1/16%*365</f>
        <v>2281.25</v>
      </c>
    </row>
    <row r="7" spans="1:11">
      <c r="I7" t="s">
        <v>56</v>
      </c>
    </row>
    <row r="9" spans="1:11">
      <c r="A9" t="s">
        <v>57</v>
      </c>
      <c r="B9" t="s">
        <v>35</v>
      </c>
      <c r="C9" t="s">
        <v>53</v>
      </c>
      <c r="D9" t="s">
        <v>54</v>
      </c>
      <c r="E9" t="s">
        <v>55</v>
      </c>
      <c r="F9" t="s">
        <v>53</v>
      </c>
      <c r="G9" t="s">
        <v>54</v>
      </c>
      <c r="H9" t="s">
        <v>55</v>
      </c>
    </row>
    <row r="10" spans="1:11">
      <c r="B10" t="s">
        <v>44</v>
      </c>
      <c r="C10" s="41">
        <v>4.0000000000000002E-4</v>
      </c>
      <c r="D10" s="41">
        <v>1.6000000000000001E-3</v>
      </c>
      <c r="E10" s="40">
        <v>8.0000000000000002E-3</v>
      </c>
      <c r="F10" s="42">
        <f>0.693*11/Table2[[#This Row],[1h]]/24</f>
        <v>794.06249999999989</v>
      </c>
      <c r="G10" s="42">
        <f>7*(1-Table2[[#This Row],[1h]])/(Table2[[#This Row],[7d]]-Table2[[#This Row],[1h]])+11/24</f>
        <v>5831.458333333333</v>
      </c>
      <c r="H10" s="42">
        <f>3*(1-Table2[[#This Row],[1h]])/(Table2[[#This Row],[3d]]-Table2[[#This Row],[1h]])+11/24</f>
        <v>395.03728070175441</v>
      </c>
      <c r="I10" s="41"/>
    </row>
    <row r="11" spans="1:11">
      <c r="B11" t="s">
        <v>45</v>
      </c>
      <c r="C11" s="41">
        <v>4.0000000000000002E-4</v>
      </c>
      <c r="D11" s="41">
        <v>8.0000000000000002E-3</v>
      </c>
      <c r="E11" s="40">
        <v>5.0000000000000001E-3</v>
      </c>
      <c r="F11" s="42">
        <f>0.693*11/Table2[[#This Row],[1h]]/24</f>
        <v>794.06249999999989</v>
      </c>
      <c r="G11" s="42">
        <f>7*(1-Table2[[#This Row],[1h]])/(Table2[[#This Row],[7d]]-Table2[[#This Row],[1h]])+11/24</f>
        <v>921.14254385964921</v>
      </c>
      <c r="H11" s="42">
        <f>3*(1-Table2[[#This Row],[1h]])/(Table2[[#This Row],[3d]]-Table2[[#This Row],[1h]])+11/24</f>
        <v>652.37137681159425</v>
      </c>
      <c r="I11" s="41"/>
    </row>
    <row r="12" spans="1:11">
      <c r="B12" t="s">
        <v>46</v>
      </c>
      <c r="C12" s="41">
        <v>2.3E-3</v>
      </c>
      <c r="D12" s="41">
        <v>3.0000000000000001E-3</v>
      </c>
      <c r="E12" s="40">
        <v>1.2E-2</v>
      </c>
      <c r="F12" s="42">
        <f>0.693*11/Table2[[#This Row],[1h]]/24</f>
        <v>138.09782608695653</v>
      </c>
      <c r="G12" s="42">
        <f>7*(1-Table2[[#This Row],[1h]])/(Table2[[#This Row],[7d]]-Table2[[#This Row],[1h]])+11/24</f>
        <v>9977.4583333333321</v>
      </c>
      <c r="H12" s="42">
        <f>3*(1-Table2[[#This Row],[1h]])/(Table2[[#This Row],[3d]]-Table2[[#This Row],[1h]])+11/24</f>
        <v>309.02534364261169</v>
      </c>
      <c r="I12" s="41"/>
    </row>
    <row r="13" spans="1:11">
      <c r="B13" t="s">
        <v>47</v>
      </c>
      <c r="C13" s="41">
        <v>3.4000000000000002E-3</v>
      </c>
      <c r="D13" s="41">
        <v>3.7000000000000002E-3</v>
      </c>
      <c r="E13" s="40">
        <v>1.1000000000000001E-2</v>
      </c>
      <c r="F13" s="42">
        <f>0.693*11/Table2[[#This Row],[1h]]/24</f>
        <v>93.419117647058798</v>
      </c>
      <c r="G13" s="42">
        <f>7*(1-Table2[[#This Row],[1h]])/(Table2[[#This Row],[7d]]-Table2[[#This Row],[1h]])+11/24</f>
        <v>23254.458333333339</v>
      </c>
      <c r="H13" s="42">
        <f>3*(1-Table2[[#This Row],[1h]])/(Table2[[#This Row],[3d]]-Table2[[#This Row],[1h]])+11/24</f>
        <v>393.85307017543857</v>
      </c>
      <c r="I13" s="41"/>
    </row>
    <row r="14" spans="1:11">
      <c r="B14" t="s">
        <v>37</v>
      </c>
      <c r="C14" s="41">
        <v>3.3E-3</v>
      </c>
      <c r="D14" s="41">
        <v>3.2000000000000001E-2</v>
      </c>
      <c r="E14" s="40">
        <v>1.8000000000000002E-2</v>
      </c>
      <c r="F14" s="42">
        <f>0.693*11/Table2[[#This Row],[1h]]/24</f>
        <v>96.25</v>
      </c>
      <c r="G14" s="42">
        <f>7*(1-Table2[[#This Row],[1h]])/(Table2[[#This Row],[7d]]-Table2[[#This Row],[1h]])+11/24</f>
        <v>243.55589430894312</v>
      </c>
      <c r="H14" s="42">
        <f>3*(1-Table2[[#This Row],[1h]])/(Table2[[#This Row],[3d]]-Table2[[#This Row],[1h]])+11/24</f>
        <v>203.86649659863946</v>
      </c>
      <c r="I14" s="41"/>
    </row>
    <row r="15" spans="1:11">
      <c r="B15" t="s">
        <v>48</v>
      </c>
      <c r="C15" s="41">
        <v>3.8999999999999998E-3</v>
      </c>
      <c r="D15" s="41">
        <v>2.7000000000000003E-2</v>
      </c>
      <c r="E15" s="40">
        <v>2.0499999999999997E-2</v>
      </c>
      <c r="F15" s="42">
        <f>0.693*11/Table2[[#This Row],[1h]]/24</f>
        <v>81.442307692307693</v>
      </c>
      <c r="G15" s="42">
        <f>7*(1-Table2[[#This Row],[1h]])/(Table2[[#This Row],[7d]]-Table2[[#This Row],[1h]])+11/24</f>
        <v>302.30681818181813</v>
      </c>
      <c r="H15" s="42">
        <f>3*(1-Table2[[#This Row],[1h]])/(Table2[[#This Row],[3d]]-Table2[[#This Row],[1h]])+11/24</f>
        <v>180.47640562248998</v>
      </c>
      <c r="I15" s="41"/>
    </row>
    <row r="16" spans="1:11">
      <c r="B16" t="s">
        <v>49</v>
      </c>
      <c r="C16" s="41">
        <v>6.7000000000000002E-3</v>
      </c>
      <c r="D16" s="41">
        <v>2.7999999999999997E-2</v>
      </c>
      <c r="E16" s="40">
        <v>1.7500000000000002E-2</v>
      </c>
      <c r="F16" s="42">
        <f>0.693*11/Table2[[#This Row],[1h]]/24</f>
        <v>47.406716417910445</v>
      </c>
      <c r="G16" s="42">
        <f>7*(1-Table2[[#This Row],[1h]])/(Table2[[#This Row],[7d]]-Table2[[#This Row],[1h]])+11/24</f>
        <v>326.89495305164326</v>
      </c>
      <c r="H16" s="42">
        <f>3*(1-Table2[[#This Row],[1h]])/(Table2[[#This Row],[3d]]-Table2[[#This Row],[1h]])+11/24</f>
        <v>276.37499999999994</v>
      </c>
      <c r="I16" s="41"/>
    </row>
    <row r="17" spans="2:11">
      <c r="B17" t="s">
        <v>50</v>
      </c>
      <c r="C17" s="41">
        <v>6.7000000000000002E-3</v>
      </c>
      <c r="D17" s="41">
        <v>9.3000000000000013E-2</v>
      </c>
      <c r="E17" s="40">
        <v>4.4000000000000004E-2</v>
      </c>
      <c r="F17" s="42">
        <f>0.693*11/Table2[[#This Row],[1h]]/24</f>
        <v>47.406716417910445</v>
      </c>
      <c r="G17" s="42">
        <f>7*(1-Table2[[#This Row],[1h]])/(Table2[[#This Row],[7d]]-Table2[[#This Row],[1h]])+11/24</f>
        <v>81.027278872151385</v>
      </c>
      <c r="H17" s="42">
        <f>3*(1-Table2[[#This Row],[1h]])/(Table2[[#This Row],[3d]]-Table2[[#This Row],[1h]])+11/24</f>
        <v>80.348413762287734</v>
      </c>
      <c r="I17" s="41"/>
    </row>
    <row r="18" spans="2:11">
      <c r="B18" t="s">
        <v>51</v>
      </c>
      <c r="C18" s="41">
        <v>2E-3</v>
      </c>
      <c r="D18" s="41">
        <v>0.03</v>
      </c>
      <c r="E18" s="40">
        <v>1.4999999999999999E-2</v>
      </c>
      <c r="F18" s="42">
        <f>0.693*11/Table2[[#This Row],[1h]]/24</f>
        <v>158.81249999999997</v>
      </c>
      <c r="G18" s="42">
        <f>7*(1-Table2[[#This Row],[1h]])/(Table2[[#This Row],[7d]]-Table2[[#This Row],[1h]])+11/24</f>
        <v>249.95833333333337</v>
      </c>
      <c r="H18" s="42">
        <f>3*(1-Table2[[#This Row],[1h]])/(Table2[[#This Row],[3d]]-Table2[[#This Row],[1h]])+11/24</f>
        <v>230.76602564102564</v>
      </c>
      <c r="I18" s="41"/>
    </row>
    <row r="19" spans="2:11">
      <c r="B19" t="s">
        <v>52</v>
      </c>
      <c r="C19" s="41">
        <v>4.5000000000000005E-3</v>
      </c>
      <c r="D19" s="41">
        <v>8.0000000000000002E-3</v>
      </c>
      <c r="E19" s="40">
        <v>3.0000000000000001E-3</v>
      </c>
      <c r="F19" s="42">
        <f>0.693*11/Table2[[#This Row],[1h]]/24</f>
        <v>70.583333333333314</v>
      </c>
      <c r="G19" s="42">
        <f>7*(1-Table2[[#This Row],[1h]])/(Table2[[#This Row],[7d]]-Table2[[#This Row],[1h]])+11/24</f>
        <v>1991.4583333333337</v>
      </c>
      <c r="H19" s="42">
        <f>3*(1-Table2[[#This Row],[1h]])/(Table2[[#This Row],[3d]]-Table2[[#This Row],[1h]])+11/24</f>
        <v>-1990.5416666666663</v>
      </c>
      <c r="I19" s="41"/>
    </row>
    <row r="31" spans="2:11">
      <c r="K31" t="s">
        <v>31</v>
      </c>
    </row>
    <row r="36" spans="2:6">
      <c r="B36">
        <v>60</v>
      </c>
      <c r="E36">
        <f>(A13*B36+C36*D36)/10000</f>
        <v>0</v>
      </c>
    </row>
    <row r="37" spans="2:6">
      <c r="B37">
        <v>20</v>
      </c>
      <c r="C37">
        <v>5900</v>
      </c>
      <c r="D37">
        <v>32</v>
      </c>
      <c r="E37">
        <f>(A14*B37+C37*D37)/10000</f>
        <v>18.88</v>
      </c>
      <c r="F37">
        <f>C37+A14</f>
        <v>5900</v>
      </c>
    </row>
    <row r="38" spans="2:6">
      <c r="B38">
        <v>25</v>
      </c>
      <c r="C38">
        <v>9600</v>
      </c>
      <c r="D38">
        <v>16</v>
      </c>
      <c r="E38">
        <f>(A15*B38+C38*D38)/10000</f>
        <v>15.36</v>
      </c>
      <c r="F38">
        <f>C38+A15</f>
        <v>9600</v>
      </c>
    </row>
    <row r="39" spans="2:6">
      <c r="B39">
        <v>110</v>
      </c>
      <c r="C39">
        <v>3300</v>
      </c>
      <c r="D39">
        <v>67</v>
      </c>
      <c r="E39">
        <f>(A16*B39+C39*D39)/10000</f>
        <v>22.11</v>
      </c>
    </row>
    <row r="40" spans="2:6">
      <c r="B40">
        <v>13</v>
      </c>
      <c r="C40">
        <v>9600</v>
      </c>
      <c r="D40">
        <v>34</v>
      </c>
      <c r="E40">
        <f>(A17*B40+C40*D40)/10000</f>
        <v>32.64</v>
      </c>
    </row>
    <row r="42" spans="2:6">
      <c r="B42">
        <f>B37*A14/10000</f>
        <v>0</v>
      </c>
      <c r="D42">
        <f>D37*C37/10000</f>
        <v>18.88</v>
      </c>
    </row>
    <row r="43" spans="2:6">
      <c r="B43">
        <f>B38*A15/10000</f>
        <v>0</v>
      </c>
      <c r="D43">
        <f>D38*C38/10000</f>
        <v>15.36</v>
      </c>
    </row>
    <row r="45" spans="2:6">
      <c r="B45">
        <f>B37*A14/10000</f>
        <v>0</v>
      </c>
    </row>
    <row r="46" spans="2:6">
      <c r="B46">
        <f>B38*A15/10000</f>
        <v>0</v>
      </c>
      <c r="C46">
        <f>B46+B45</f>
        <v>0</v>
      </c>
    </row>
    <row r="47" spans="2:6">
      <c r="B47">
        <f>B39*A16/10000</f>
        <v>0</v>
      </c>
    </row>
    <row r="48" spans="2:6">
      <c r="B48">
        <f>B40*A17/10000</f>
        <v>0</v>
      </c>
      <c r="C48">
        <f>B48+B47</f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Endothl</vt:lpstr>
      <vt:lpstr>Blood_vessels_volume</vt:lpstr>
      <vt:lpstr>Endothelium_properties</vt:lpstr>
      <vt:lpstr>Endothel_turnoevr</vt:lpstr>
      <vt:lpstr>rr</vt:lpstr>
    </vt:vector>
  </TitlesOfParts>
  <Company>Weizmann Institute of Sceince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Sender</dc:creator>
  <cp:lastModifiedBy>Ron Sender</cp:lastModifiedBy>
  <dcterms:created xsi:type="dcterms:W3CDTF">2019-06-24T08:34:05Z</dcterms:created>
  <dcterms:modified xsi:type="dcterms:W3CDTF">2019-07-01T08:12:13Z</dcterms:modified>
</cp:coreProperties>
</file>