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2260" windowHeight="12645" firstSheet="3" activeTab="8"/>
  </bookViews>
  <sheets>
    <sheet name="small_intestine_SA_data" sheetId="1" r:id="rId1"/>
    <sheet name="villi_and_crypts_data" sheetId="2" r:id="rId2"/>
    <sheet name="potassium_data" sheetId="8" r:id="rId3"/>
    <sheet name="cellular_mass_conversion" sheetId="9" r:id="rId4"/>
    <sheet name="enterocyte_turnover" sheetId="3" r:id="rId5"/>
    <sheet name="colon_properties" sheetId="4" r:id="rId6"/>
    <sheet name="Nooteboom et al., 2010" sheetId="5" r:id="rId7"/>
    <sheet name="stomach_mucusal_cells_volume" sheetId="6" r:id="rId8"/>
    <sheet name="stomach_properties" sheetId="7" r:id="rId9"/>
  </sheets>
  <calcPr calcId="162913"/>
  <pivotCaches>
    <pivotCache cacheId="3" r:id="rId10"/>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8" l="1"/>
  <c r="D3" i="8"/>
  <c r="D2" i="8"/>
  <c r="J18" i="2" l="1"/>
  <c r="C9" i="7"/>
  <c r="B9" i="7"/>
  <c r="C8" i="7"/>
  <c r="G2" i="6"/>
  <c r="B8" i="7"/>
  <c r="C3" i="7"/>
  <c r="C4" i="7"/>
  <c r="C7" i="7"/>
  <c r="C2" i="7"/>
  <c r="G3" i="6"/>
  <c r="G4" i="6"/>
  <c r="G5" i="6"/>
  <c r="G6" i="6"/>
  <c r="F2" i="6"/>
  <c r="F3" i="6"/>
  <c r="F4" i="6"/>
  <c r="F5" i="6"/>
  <c r="F6" i="6"/>
  <c r="Q15" i="3"/>
  <c r="O15" i="3"/>
  <c r="Q14" i="3"/>
  <c r="P14" i="3"/>
  <c r="Q13" i="3"/>
  <c r="O13" i="3"/>
  <c r="T13" i="3" s="1"/>
  <c r="V15" i="3"/>
  <c r="X17" i="3"/>
  <c r="X18" i="3" s="1"/>
  <c r="S15" i="3" l="1"/>
  <c r="T14" i="3"/>
  <c r="S13" i="3"/>
  <c r="S14" i="3"/>
  <c r="T15" i="3"/>
  <c r="B4" i="4"/>
  <c r="C4" i="4"/>
  <c r="C3" i="4"/>
  <c r="B3" i="4"/>
  <c r="F11" i="2" l="1"/>
  <c r="E4" i="2"/>
  <c r="E3" i="2"/>
  <c r="C10" i="2"/>
  <c r="C9" i="2"/>
  <c r="C3" i="2"/>
  <c r="J17" i="2"/>
  <c r="J16" i="2"/>
  <c r="J15" i="2"/>
  <c r="J14" i="2"/>
  <c r="J13" i="2"/>
  <c r="J12" i="2"/>
  <c r="J11" i="2"/>
  <c r="J10" i="2"/>
  <c r="J9" i="2"/>
  <c r="J8" i="2"/>
  <c r="J7" i="2"/>
  <c r="J6" i="2"/>
  <c r="J5" i="2"/>
  <c r="J4" i="2"/>
  <c r="J3" i="2"/>
  <c r="J2" i="2"/>
  <c r="D3" i="2"/>
  <c r="D15" i="2"/>
  <c r="F18" i="2"/>
  <c r="D16" i="2"/>
  <c r="D14" i="2"/>
  <c r="D7" i="2"/>
  <c r="D8" i="2"/>
  <c r="E5" i="2"/>
  <c r="D5" i="2"/>
  <c r="E3" i="1"/>
  <c r="E4" i="1"/>
  <c r="E5" i="1"/>
  <c r="E6" i="1"/>
  <c r="C3" i="1"/>
  <c r="C4" i="1"/>
  <c r="C5" i="1"/>
  <c r="C6" i="1"/>
</calcChain>
</file>

<file path=xl/sharedStrings.xml><?xml version="1.0" encoding="utf-8"?>
<sst xmlns="http://schemas.openxmlformats.org/spreadsheetml/2006/main" count="298" uniqueCount="188">
  <si>
    <t>Valves of Kerckring (plicae)</t>
  </si>
  <si>
    <t>remark:</t>
  </si>
  <si>
    <t>Snyder, 1975</t>
  </si>
  <si>
    <t>Helander &amp; Fändriks, 2014</t>
  </si>
  <si>
    <r>
      <t>SA [m^</t>
    </r>
    <r>
      <rPr>
        <b/>
        <vertAlign val="superscript"/>
        <sz val="11"/>
        <color theme="0"/>
        <rFont val="Calibri"/>
        <family val="2"/>
        <scheme val="minor"/>
      </rPr>
      <t>2</t>
    </r>
    <r>
      <rPr>
        <b/>
        <sz val="11"/>
        <color theme="0"/>
        <rFont val="Calibri"/>
        <family val="2"/>
        <scheme val="minor"/>
      </rPr>
      <t>]</t>
    </r>
  </si>
  <si>
    <r>
      <t>revised SA [m^</t>
    </r>
    <r>
      <rPr>
        <b/>
        <vertAlign val="superscript"/>
        <sz val="11"/>
        <color theme="0"/>
        <rFont val="Calibri"/>
        <family val="2"/>
        <scheme val="minor"/>
      </rPr>
      <t>2</t>
    </r>
    <r>
      <rPr>
        <b/>
        <sz val="11"/>
        <color theme="0"/>
        <rFont val="Calibri"/>
        <family val="2"/>
        <scheme val="minor"/>
      </rPr>
      <t xml:space="preserve">] </t>
    </r>
  </si>
  <si>
    <t>factor 2014</t>
  </si>
  <si>
    <t>factor 1975</t>
  </si>
  <si>
    <t>level</t>
  </si>
  <si>
    <t>Villi</t>
  </si>
  <si>
    <t>Microvilli</t>
  </si>
  <si>
    <t>cylinder approximation</t>
  </si>
  <si>
    <t>parameter</t>
  </si>
  <si>
    <t>[8]</t>
  </si>
  <si>
    <t>[14]</t>
  </si>
  <si>
    <t>rabbit</t>
  </si>
  <si>
    <t>rat</t>
  </si>
  <si>
    <t>pigs</t>
  </si>
  <si>
    <t>human</t>
  </si>
  <si>
    <t>dog</t>
  </si>
  <si>
    <t>entrocytes/villus</t>
  </si>
  <si>
    <t>No. of villi /mm (1-d section)</t>
  </si>
  <si>
    <r>
      <t>villus density [vill./m</t>
    </r>
    <r>
      <rPr>
        <vertAlign val="superscript"/>
        <sz val="11"/>
        <color theme="1"/>
        <rFont val="Calibri"/>
        <family val="2"/>
        <scheme val="minor"/>
      </rPr>
      <t>2</t>
    </r>
    <r>
      <rPr>
        <sz val="11"/>
        <color theme="1"/>
        <rFont val="Calibri"/>
        <family val="2"/>
        <charset val="177"/>
        <scheme val="minor"/>
      </rPr>
      <t>]</t>
    </r>
  </si>
  <si>
    <r>
      <t>villus density - Ileum [vill./m</t>
    </r>
    <r>
      <rPr>
        <vertAlign val="superscript"/>
        <sz val="11"/>
        <color theme="1"/>
        <rFont val="Calibri"/>
        <family val="2"/>
        <scheme val="minor"/>
      </rPr>
      <t>2</t>
    </r>
    <r>
      <rPr>
        <sz val="11"/>
        <color theme="1"/>
        <rFont val="Calibri"/>
        <family val="2"/>
        <charset val="177"/>
        <scheme val="minor"/>
      </rPr>
      <t>]</t>
    </r>
  </si>
  <si>
    <r>
      <t>villus density - Jejunum [vill./m</t>
    </r>
    <r>
      <rPr>
        <vertAlign val="superscript"/>
        <sz val="11"/>
        <color theme="1"/>
        <rFont val="Calibri"/>
        <family val="2"/>
        <scheme val="minor"/>
      </rPr>
      <t>2</t>
    </r>
    <r>
      <rPr>
        <sz val="11"/>
        <color theme="1"/>
        <rFont val="Calibri"/>
        <family val="2"/>
        <charset val="177"/>
        <scheme val="minor"/>
      </rPr>
      <t>]</t>
    </r>
  </si>
  <si>
    <t>No. of cryptes /mm (1-d section)</t>
  </si>
  <si>
    <r>
      <t>Crypts density [crypts/m</t>
    </r>
    <r>
      <rPr>
        <vertAlign val="superscript"/>
        <sz val="11"/>
        <color theme="1"/>
        <rFont val="Calibri"/>
        <family val="2"/>
        <scheme val="minor"/>
      </rPr>
      <t>2</t>
    </r>
    <r>
      <rPr>
        <sz val="11"/>
        <color theme="1"/>
        <rFont val="Calibri"/>
        <family val="2"/>
        <charset val="177"/>
        <scheme val="minor"/>
      </rPr>
      <t>]</t>
    </r>
  </si>
  <si>
    <t>crypt to villi ratio</t>
  </si>
  <si>
    <t>[9],[10]</t>
  </si>
  <si>
    <t>[6], [7]</t>
  </si>
  <si>
    <t>sources</t>
  </si>
  <si>
    <t>#</t>
  </si>
  <si>
    <t>ab.</t>
  </si>
  <si>
    <t>source</t>
  </si>
  <si>
    <t>Crosby, 1961</t>
  </si>
  <si>
    <t>Crosby WH. A Concept of the Pathogenesis of Anemia Applied to Disorders of the Intestinal Mucosa. Am J Dig Dis 1961;June:492–8.</t>
  </si>
  <si>
    <t>Snyder et al., 1975</t>
  </si>
  <si>
    <t>Snyder WS, Cook MJ, Nasset ES, Karhausen LR, Parry Howells G, Tipton IH. Report of the Task Group on Reference Man. vol. 23. Pergamon Press: Oxford; 1975. doi:10.1016/S0074-2740(75)80015-8</t>
  </si>
  <si>
    <t>Helander HF, Fändriks L. Surface area of the digestive tract – revisited. Scand J Gastroenterol 2014;49:681–9. doi:10.3109/00365521.2014.898326</t>
  </si>
  <si>
    <t>Snipes, 1997</t>
  </si>
  <si>
    <t>Snipes RL. Intestinal Absorptive Surface in Mammals of Different Sizes. Berlin: Springer -Verlag; 1997.</t>
  </si>
  <si>
    <t>Bianconi et al., 2013</t>
  </si>
  <si>
    <t>Bianconi E, Piovesan A, Facchin F, Beraudi A, Casadei R, Frabetti F, et al. An estimation of the number of cells in the human body. Ann Hum Biol 2013;40:463–71. doi:10.3109/03014460.2013.807878.</t>
  </si>
  <si>
    <t>Lauronen et al.,1998</t>
  </si>
  <si>
    <t>Lauronen J, Pakarinen MP, Kuusanmäki P, Savilahti E, Vento P, Paavonen T, et al. Intestinal adaptation after massive proximal small-bowel resection in the pig. Scand J Gastroenterol 1998;33:152–8. doi:10.1080/00365529850166879.</t>
  </si>
  <si>
    <t>Mekbungwan et al., 2002</t>
  </si>
  <si>
    <t xml:space="preserve">	Mekbungwan A, Yamauchi K, Thongwittaya N. Intestinal morphology and enteral nutrient absorption of pigeon pea seed meal in piglets. Anim Sci J 2002;73:509–16. doi:10.1046/j.1344-3941.2002.00070.x.</t>
  </si>
  <si>
    <t>Hyun et al., 1995</t>
  </si>
  <si>
    <t xml:space="preserve">	Hyun CS, Chen CWP, Shinowara NL, Palaia T, Fallick FS, Martello LA, et al. Morphological factors influencing transepithelial conductance in a rabbit model of ileitis. Gastroenterology 1995;109:13–23. doi:10.1016/0016-5085(95)90264-3.</t>
  </si>
  <si>
    <t>Tasman-James et al., 1982</t>
  </si>
  <si>
    <t>Tasman-James C. OL and JAL. Semipurified dietary fiber and small bowel morphology in rats. Dig Dis Sci 1982;27:519–24.</t>
  </si>
  <si>
    <t>Hosoyamada et al., 2005</t>
  </si>
  <si>
    <t xml:space="preserve">	Hosoyamada Y, Sakai T. Structural and mechanical architecture of the intestinal villi and crypts in the rat intestine: Integrative reevaluation from ultrastructural analysis. Anat Embryol (Berl) 2005;210:1–12. doi:10.1007/s00429-005-0011-y.</t>
  </si>
  <si>
    <t>Marsh &amp; Swift, 1969</t>
  </si>
  <si>
    <t>Marsh MN, Swift J a. A study of the small intestinal mucosa using the scanning electron microscope. Gut 1969;10:940–9. doi:10.1136/gut.10.11.940</t>
  </si>
  <si>
    <t>Loehry &amp; Creamer, 1969</t>
  </si>
  <si>
    <t>Loehry CA, Creamer B. Three-dimensional structure of the human small intestinal mucosa in health and disease. Gut 1969;10:6–12.</t>
  </si>
  <si>
    <t>Bohm &amp; Von Davidoff, 1928</t>
  </si>
  <si>
    <t>Bohm AA, Von Davidoff M. Bloom and Fawcett: A Textbook of Histology. second. Philadelphia: W. B. Saunders &amp; Company; 1928.</t>
  </si>
  <si>
    <t>Krogh, 1922</t>
  </si>
  <si>
    <t>Krogh A. The Anatomy and Physiology of Capillaries. New Haven: Yale University Press; 1922</t>
  </si>
  <si>
    <t>Cheng &amp; Leblond, 1974</t>
  </si>
  <si>
    <t>Cheng H, Leblond CP. Origin, differentiation and renewal of the four main epithelial cell types in the mouse small intestine V. Unitarian theory of the origin of the four epithelial cell types. Am J Anat 1974;141:537–61. doi:10.1002/aja.1001410407.</t>
  </si>
  <si>
    <t>Darwich et al., 2014</t>
  </si>
  <si>
    <t>Darwich AS, Aslam U, Ashcroft DM, Rostami-Hodjegan A. Meta-analysis of the turnover of intestinal epithelia in preclinical animal species and humans. Drug Metab Dispos 2014;42:2016–22. doi:10.1124/dmd.114.058404.</t>
  </si>
  <si>
    <t>Segment</t>
  </si>
  <si>
    <t>Turnover (Days)</t>
  </si>
  <si>
    <t>SD</t>
  </si>
  <si>
    <t>N</t>
  </si>
  <si>
    <t>Additional information</t>
  </si>
  <si>
    <t>Method</t>
  </si>
  <si>
    <t>References</t>
  </si>
  <si>
    <t>Duodenum</t>
  </si>
  <si>
    <t xml:space="preserve">          </t>
  </si>
  <si>
    <t>Individual 1</t>
  </si>
  <si>
    <r>
      <t xml:space="preserve">H-Thymidine, </t>
    </r>
    <r>
      <rPr>
        <i/>
        <sz val="11"/>
        <color theme="1"/>
        <rFont val="Calibri"/>
        <family val="2"/>
        <scheme val="minor"/>
      </rPr>
      <t>in vivo</t>
    </r>
  </si>
  <si>
    <t>(Macdonald et al., 1964)</t>
  </si>
  <si>
    <t>Individual 2</t>
  </si>
  <si>
    <t>NA</t>
  </si>
  <si>
    <t>Histological study</t>
  </si>
  <si>
    <t>(Bertalanffy and Nagy, 1961)</t>
  </si>
  <si>
    <t>(Weinstein, 1974)</t>
  </si>
  <si>
    <t>Jejunum</t>
  </si>
  <si>
    <t>(Shorter et al., 1964)</t>
  </si>
  <si>
    <t>Ileum</t>
  </si>
  <si>
    <t>(Bullen et al., 2006)</t>
  </si>
  <si>
    <t>(Lipkin et al., 1963b)</t>
  </si>
  <si>
    <r>
      <t xml:space="preserve">epithelial cells in </t>
    </r>
    <r>
      <rPr>
        <b/>
        <sz val="11"/>
        <color theme="1"/>
        <rFont val="Calibri"/>
        <family val="2"/>
        <scheme val="minor"/>
      </rPr>
      <t xml:space="preserve">villi  </t>
    </r>
    <r>
      <rPr>
        <sz val="11"/>
        <color theme="1"/>
        <rFont val="Calibri"/>
        <family val="2"/>
        <scheme val="minor"/>
      </rPr>
      <t>[per mum]</t>
    </r>
  </si>
  <si>
    <r>
      <rPr>
        <b/>
        <sz val="11"/>
        <color theme="1"/>
        <rFont val="Calibri"/>
        <family val="2"/>
        <scheme val="minor"/>
      </rPr>
      <t>Crypts</t>
    </r>
    <r>
      <rPr>
        <sz val="11"/>
        <color theme="1"/>
        <rFont val="Calibri"/>
        <family val="2"/>
        <charset val="177"/>
        <scheme val="minor"/>
      </rPr>
      <t xml:space="preserve"> cells  [per mum]</t>
    </r>
  </si>
  <si>
    <t>epithelial cells diameter [mum]</t>
  </si>
  <si>
    <r>
      <t>calculated epithelial cells SA [mum</t>
    </r>
    <r>
      <rPr>
        <vertAlign val="superscript"/>
        <sz val="11"/>
        <color theme="1"/>
        <rFont val="Calibri"/>
        <family val="2"/>
        <scheme val="minor"/>
      </rPr>
      <t>2</t>
    </r>
    <r>
      <rPr>
        <sz val="11"/>
        <color theme="1"/>
        <rFont val="Calibri"/>
        <family val="2"/>
        <charset val="177"/>
        <scheme val="minor"/>
      </rPr>
      <t>]</t>
    </r>
  </si>
  <si>
    <r>
      <t>epithelial cell volume [mum</t>
    </r>
    <r>
      <rPr>
        <vertAlign val="superscript"/>
        <sz val="11"/>
        <color theme="1"/>
        <rFont val="Calibri"/>
        <family val="2"/>
        <scheme val="minor"/>
      </rPr>
      <t>3</t>
    </r>
    <r>
      <rPr>
        <sz val="11"/>
        <color theme="1"/>
        <rFont val="Calibri"/>
        <family val="2"/>
        <charset val="177"/>
        <scheme val="minor"/>
      </rPr>
      <t>]</t>
    </r>
  </si>
  <si>
    <r>
      <t>villus surface area  [mum</t>
    </r>
    <r>
      <rPr>
        <vertAlign val="superscript"/>
        <sz val="11"/>
        <color theme="1"/>
        <rFont val="Calibri"/>
        <family val="2"/>
        <scheme val="minor"/>
      </rPr>
      <t>2</t>
    </r>
    <r>
      <rPr>
        <sz val="11"/>
        <color theme="1"/>
        <rFont val="Calibri"/>
        <family val="2"/>
        <charset val="177"/>
        <scheme val="minor"/>
      </rPr>
      <t>]</t>
    </r>
  </si>
  <si>
    <t>villi height [mum]</t>
  </si>
  <si>
    <t>villi diameter [mum]</t>
  </si>
  <si>
    <t>crypts depths [mum]</t>
  </si>
  <si>
    <t>crypts diameter [mum]</t>
  </si>
  <si>
    <t>value</t>
  </si>
  <si>
    <t>units</t>
  </si>
  <si>
    <t>kg</t>
  </si>
  <si>
    <t>crypt density</t>
  </si>
  <si>
    <t>1/cm^2</t>
  </si>
  <si>
    <t>Qi et al., 2008</t>
  </si>
  <si>
    <t>source:</t>
  </si>
  <si>
    <t>Qi X, Pan Y, Hu Z, Kang W, Willis JE, Olowe K, et al. Automated quantification of colonic crypt morphology using integrated microscopy and optical coherence tomography. J Biomed Opt. 2008;13: 054055. doi:10.1117/1.2993323</t>
  </si>
  <si>
    <t>Helander and Fandriks, 2014</t>
  </si>
  <si>
    <t>comments</t>
  </si>
  <si>
    <t>colon surface area</t>
  </si>
  <si>
    <t>cm^2</t>
  </si>
  <si>
    <t>estimated the error based on the values in the source</t>
  </si>
  <si>
    <t>Nooteboom et al., 2010</t>
  </si>
  <si>
    <t>mean crypt cells</t>
  </si>
  <si>
    <t>patient</t>
  </si>
  <si>
    <t>cells/crypt</t>
  </si>
  <si>
    <t>cells in crypt</t>
  </si>
  <si>
    <t>Mehl, 1991</t>
  </si>
  <si>
    <t>cells in rat colon</t>
  </si>
  <si>
    <t>cells</t>
  </si>
  <si>
    <t>rat mass</t>
  </si>
  <si>
    <t>man mass</t>
  </si>
  <si>
    <t>Sub segment</t>
  </si>
  <si>
    <t>H-Thymidine, in vivo</t>
  </si>
  <si>
    <t>Stomach</t>
  </si>
  <si>
    <t>BrdUrd, in vivo</t>
  </si>
  <si>
    <t>Gastric body</t>
  </si>
  <si>
    <t>Gastric antrum</t>
  </si>
  <si>
    <t>(Patel et al., 1993)</t>
  </si>
  <si>
    <t>(Wright et al., 1977)</t>
  </si>
  <si>
    <t>Colon</t>
  </si>
  <si>
    <t>(Lipkin et al., 1963a)</t>
  </si>
  <si>
    <t>(Potten et al., 1992)</t>
  </si>
  <si>
    <t>(Lipkin et al., 1969)</t>
  </si>
  <si>
    <t>(Bleiberg and Galand, 1976)</t>
  </si>
  <si>
    <t>Small intestine</t>
  </si>
  <si>
    <t>Row Labels</t>
  </si>
  <si>
    <t>Grand Total</t>
  </si>
  <si>
    <t>Column Labels</t>
  </si>
  <si>
    <t>Average of Turnover (Days)</t>
  </si>
  <si>
    <t>Count of N</t>
  </si>
  <si>
    <t>S</t>
  </si>
  <si>
    <t>P1</t>
  </si>
  <si>
    <t>P2</t>
  </si>
  <si>
    <t>P3</t>
  </si>
  <si>
    <t>P4</t>
  </si>
  <si>
    <t>location</t>
  </si>
  <si>
    <t>fl</t>
  </si>
  <si>
    <t>mean mucus volume density (%)</t>
  </si>
  <si>
    <t xml:space="preserve">SEM mucus volume density (%) </t>
  </si>
  <si>
    <t>mean mucus volume per cell (fl)</t>
  </si>
  <si>
    <t>SEM mucus volume per cell (fl)</t>
  </si>
  <si>
    <t>mean cell volume (fl)</t>
  </si>
  <si>
    <t>SEM cell volume (fl)</t>
  </si>
  <si>
    <t>Nooteboom M, Johnson R, Taylor RW, Wright NA, Lightowlers RN, Kirkwood TBL, et al. Age-associated mitochondrial DNA mutations lead to small but significant changes in cell proliferation and apoptosis in human colonic crypts. Aging Cell. 2010;9: 96–99. doi:10.1111/j.1474-9726.2009.00531.x</t>
  </si>
  <si>
    <t>Helander HF, Fändriks L. Surface area of the digestive tract – revisited. Scand J Gastroenterol. 2014;49: 681–689. doi:10.3109/00365521.2014.898326</t>
  </si>
  <si>
    <t>Doidge JM, Millar SJ, Yeomans ND. Changes in volume of stored mucus in pit and surface cells during their maturation and migration in the antral mucosa of the mouse. Cell Tissue Res. 1982;227: 459–463. doi:10.1007/BF00210900</t>
  </si>
  <si>
    <t>Hogben CAM, H. KT, Woodward PA, Sill AJ. Quantitative histology of the gastric mucosa: Man, dog, cat, guinea pig, and frog. Gastroenterology. Elsevier Masson SAS; 1974;67: 1143–1154. doi:10.1016/S0016-5085(19)32700-3</t>
  </si>
  <si>
    <t>Mehl LE. A mathematical computer simulation model for the development of colonic polyps and colon cancer. J Surg Oncol. 1991;47: 243–252. doi:10.1002/jso.2930470409</t>
  </si>
  <si>
    <t>Hogben et al., 1974</t>
  </si>
  <si>
    <t>%</t>
  </si>
  <si>
    <t>g</t>
  </si>
  <si>
    <t>total cells as %  of corpus mucosa  mass</t>
  </si>
  <si>
    <t>ICRP. Basic anatomical and physiological data for use in radiological protection: reference values. ICRP Publication 89 [Internet]. Annals of the ICRP. Pergamon; 2002. doi:10.1016/S0146-6453(03)00002-2</t>
  </si>
  <si>
    <t>ICRP, 2002</t>
  </si>
  <si>
    <t>derived SEM from SD/sqrt(n)</t>
  </si>
  <si>
    <t>Doidge et al., 1982</t>
  </si>
  <si>
    <t>total stomach mass</t>
  </si>
  <si>
    <t xml:space="preserve">taken from surface of mucousa of mice. Derived from sourcs values </t>
  </si>
  <si>
    <t xml:space="preserve">taken as average of mucusal cells over location in pits (mucousa of mice.) Derived from sourcs values </t>
  </si>
  <si>
    <t>mucous surface cells % of corpus mucosa  mass</t>
  </si>
  <si>
    <t>mucous neck cell % of corpus mucosa  mass</t>
  </si>
  <si>
    <t>gastric corpus as % of stomach weight</t>
  </si>
  <si>
    <t>corpus mucusa as % of stomach weight</t>
  </si>
  <si>
    <t>volume of mucous surface cells</t>
  </si>
  <si>
    <t>volume of mucous neck cells</t>
  </si>
  <si>
    <r>
      <t>epithelial cell volume error [mum</t>
    </r>
    <r>
      <rPr>
        <vertAlign val="superscript"/>
        <sz val="11"/>
        <color theme="1"/>
        <rFont val="Calibri"/>
        <family val="2"/>
        <scheme val="minor"/>
      </rPr>
      <t>3</t>
    </r>
    <r>
      <rPr>
        <sz val="11"/>
        <color theme="1"/>
        <rFont val="Calibri"/>
        <family val="2"/>
        <charset val="177"/>
        <scheme val="minor"/>
      </rPr>
      <t>]</t>
    </r>
  </si>
  <si>
    <r>
      <t>[11],</t>
    </r>
    <r>
      <rPr>
        <b/>
        <i/>
        <sz val="11"/>
        <rFont val="Calibri"/>
        <family val="2"/>
        <scheme val="minor"/>
      </rPr>
      <t xml:space="preserve"> </t>
    </r>
    <r>
      <rPr>
        <b/>
        <u/>
        <sz val="11"/>
        <rFont val="Calibri"/>
        <family val="2"/>
        <scheme val="minor"/>
      </rPr>
      <t>[12]</t>
    </r>
    <r>
      <rPr>
        <b/>
        <sz val="11"/>
        <rFont val="Calibri"/>
        <family val="2"/>
        <scheme val="minor"/>
      </rPr>
      <t xml:space="preserve"> , </t>
    </r>
    <r>
      <rPr>
        <b/>
        <i/>
        <sz val="11"/>
        <rFont val="Calibri"/>
        <family val="2"/>
        <scheme val="minor"/>
      </rPr>
      <t>[13],[17]</t>
    </r>
  </si>
  <si>
    <t>Crowe PT, Marsh MN. Morphometric analysis of small intestinal mucosa IV. Determining cell volumes. Virchows Arch A Pathol Anat. 1993;422: 459–466</t>
  </si>
  <si>
    <t>Crow and Marsh, 1993</t>
  </si>
  <si>
    <t>segment</t>
  </si>
  <si>
    <t>pottasium [g]</t>
  </si>
  <si>
    <t>pottasium SD [g]</t>
  </si>
  <si>
    <t>total mass [g]</t>
  </si>
  <si>
    <t>potassium molar mass</t>
  </si>
  <si>
    <t>g/mol</t>
  </si>
  <si>
    <t>cell mass/potassium conc.</t>
  </si>
  <si>
    <t>kg/(mmol/kg)</t>
  </si>
  <si>
    <t>Wang et al., 2004</t>
  </si>
  <si>
    <t>from: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</si>
</sst>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E+00"/>
    <numFmt numFmtId="166" formatCode="0.0E+00"/>
    <numFmt numFmtId="170" formatCode="0.0%"/>
  </numFmts>
  <fonts count="15">
    <font>
      <sz val="11"/>
      <color theme="1"/>
      <name val="Calibri"/>
      <family val="2"/>
      <scheme val="minor"/>
    </font>
    <font>
      <b/>
      <sz val="11"/>
      <color theme="0"/>
      <name val="Calibri"/>
      <family val="2"/>
      <scheme val="minor"/>
    </font>
    <font>
      <sz val="11"/>
      <color theme="1"/>
      <name val="Calibri"/>
      <family val="2"/>
      <charset val="177"/>
      <scheme val="minor"/>
    </font>
    <font>
      <b/>
      <vertAlign val="superscript"/>
      <sz val="11"/>
      <color theme="0"/>
      <name val="Calibri"/>
      <family val="2"/>
      <scheme val="minor"/>
    </font>
    <font>
      <b/>
      <sz val="11"/>
      <color theme="1"/>
      <name val="Calibri"/>
      <family val="2"/>
      <scheme val="minor"/>
    </font>
    <font>
      <b/>
      <sz val="11"/>
      <color theme="0"/>
      <name val="Calibri"/>
      <family val="2"/>
      <charset val="177"/>
      <scheme val="minor"/>
    </font>
    <font>
      <vertAlign val="superscript"/>
      <sz val="11"/>
      <color theme="1"/>
      <name val="Calibri"/>
      <family val="2"/>
      <scheme val="minor"/>
    </font>
    <font>
      <i/>
      <sz val="11"/>
      <color theme="1"/>
      <name val="Calibri"/>
      <family val="2"/>
      <scheme val="minor"/>
    </font>
    <font>
      <u/>
      <sz val="11"/>
      <color theme="1"/>
      <name val="Calibri"/>
      <family val="2"/>
      <scheme val="minor"/>
    </font>
    <font>
      <b/>
      <sz val="11"/>
      <name val="Calibri"/>
      <family val="2"/>
      <scheme val="minor"/>
    </font>
    <font>
      <b/>
      <i/>
      <sz val="11"/>
      <name val="Calibri"/>
      <family val="2"/>
      <scheme val="minor"/>
    </font>
    <font>
      <b/>
      <u/>
      <sz val="11"/>
      <name val="Calibri"/>
      <family val="2"/>
      <scheme val="minor"/>
    </font>
    <font>
      <sz val="11"/>
      <color theme="1"/>
      <name val="Calibri"/>
      <family val="2"/>
      <charset val="1"/>
      <scheme val="minor"/>
    </font>
    <font>
      <sz val="11"/>
      <color theme="1"/>
      <name val="Calibri"/>
      <family val="2"/>
      <scheme val="minor"/>
    </font>
    <font>
      <b/>
      <u/>
      <sz val="11"/>
      <color theme="1"/>
      <name val="Calibri"/>
      <family val="2"/>
      <scheme val="minor"/>
    </font>
  </fonts>
  <fills count="6">
    <fill>
      <patternFill patternType="none"/>
    </fill>
    <fill>
      <patternFill patternType="gray125"/>
    </fill>
    <fill>
      <patternFill patternType="solid">
        <fgColor theme="9"/>
        <bgColor indexed="64"/>
      </patternFill>
    </fill>
    <fill>
      <patternFill patternType="solid">
        <fgColor theme="5"/>
        <bgColor indexed="64"/>
      </patternFill>
    </fill>
    <fill>
      <patternFill patternType="solid">
        <fgColor theme="4"/>
        <bgColor theme="4"/>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thin">
        <color theme="4" tint="0.39997558519241921"/>
      </bottom>
      <diagonal/>
    </border>
  </borders>
  <cellStyleXfs count="3">
    <xf numFmtId="0" fontId="0" fillId="0" borderId="0"/>
    <xf numFmtId="0" fontId="2" fillId="0" borderId="0"/>
    <xf numFmtId="9" fontId="13" fillId="0" borderId="0" applyFont="0" applyFill="0" applyBorder="0" applyAlignment="0" applyProtection="0"/>
  </cellStyleXfs>
  <cellXfs count="58">
    <xf numFmtId="0" fontId="0" fillId="0" borderId="0" xfId="0"/>
    <xf numFmtId="0" fontId="2" fillId="0" borderId="1" xfId="1" applyBorder="1" applyAlignment="1">
      <alignment horizontal="center" vertical="center"/>
    </xf>
    <xf numFmtId="0" fontId="1" fillId="2" borderId="2" xfId="1" applyFont="1" applyFill="1" applyBorder="1" applyAlignment="1">
      <alignment horizontal="center" vertical="center"/>
    </xf>
    <xf numFmtId="0" fontId="1" fillId="2" borderId="3" xfId="1" applyFont="1" applyFill="1" applyBorder="1" applyAlignment="1">
      <alignment horizontal="center" vertical="center"/>
    </xf>
    <xf numFmtId="0" fontId="1" fillId="3" borderId="2" xfId="1" applyFont="1" applyFill="1" applyBorder="1" applyAlignment="1">
      <alignment horizontal="center" vertical="center"/>
    </xf>
    <xf numFmtId="0" fontId="1" fillId="3" borderId="3" xfId="1" applyFont="1" applyFill="1" applyBorder="1" applyAlignment="1">
      <alignment horizontal="center" vertical="center"/>
    </xf>
    <xf numFmtId="0" fontId="2" fillId="0" borderId="2" xfId="1" applyBorder="1"/>
    <xf numFmtId="2" fontId="2" fillId="0" borderId="3" xfId="1" applyNumberFormat="1" applyBorder="1"/>
    <xf numFmtId="1" fontId="2" fillId="0" borderId="3" xfId="1" applyNumberFormat="1" applyBorder="1"/>
    <xf numFmtId="164" fontId="2" fillId="0" borderId="2" xfId="1" applyNumberFormat="1" applyBorder="1"/>
    <xf numFmtId="164" fontId="2" fillId="0" borderId="3" xfId="1" applyNumberFormat="1" applyBorder="1"/>
    <xf numFmtId="0" fontId="2" fillId="0" borderId="4" xfId="1" applyBorder="1"/>
    <xf numFmtId="0" fontId="5" fillId="4" borderId="7" xfId="1" applyNumberFormat="1" applyFont="1" applyFill="1" applyBorder="1" applyAlignment="1"/>
    <xf numFmtId="0" fontId="2" fillId="0" borderId="0" xfId="1" applyNumberFormat="1" applyFont="1" applyFill="1" applyBorder="1" applyAlignment="1"/>
    <xf numFmtId="0" fontId="2" fillId="0" borderId="8" xfId="1" applyNumberFormat="1" applyFont="1" applyFill="1" applyBorder="1" applyAlignment="1"/>
    <xf numFmtId="165" fontId="2" fillId="0" borderId="8" xfId="1" applyNumberFormat="1" applyFont="1" applyFill="1" applyBorder="1" applyAlignment="1"/>
    <xf numFmtId="166" fontId="2" fillId="0" borderId="8" xfId="1" applyNumberFormat="1" applyFont="1" applyFill="1" applyBorder="1" applyAlignment="1"/>
    <xf numFmtId="11" fontId="2" fillId="0" borderId="8" xfId="1" applyNumberFormat="1" applyFont="1" applyFill="1" applyBorder="1" applyAlignment="1"/>
    <xf numFmtId="0" fontId="7" fillId="0" borderId="8" xfId="1" applyNumberFormat="1" applyFont="1" applyFill="1" applyBorder="1" applyAlignment="1"/>
    <xf numFmtId="0" fontId="0" fillId="0" borderId="8" xfId="0" applyFont="1" applyFill="1" applyBorder="1"/>
    <xf numFmtId="0" fontId="0" fillId="0" borderId="8" xfId="1" applyNumberFormat="1" applyFont="1" applyFill="1" applyBorder="1" applyAlignment="1"/>
    <xf numFmtId="164" fontId="2" fillId="0" borderId="8" xfId="1" applyNumberFormat="1" applyFont="1" applyFill="1" applyBorder="1" applyAlignment="1"/>
    <xf numFmtId="1" fontId="2" fillId="0" borderId="8" xfId="1" applyNumberFormat="1" applyFont="1" applyFill="1" applyBorder="1" applyAlignment="1"/>
    <xf numFmtId="0" fontId="8" fillId="0" borderId="8" xfId="1" applyNumberFormat="1" applyFont="1" applyFill="1" applyBorder="1" applyAlignment="1"/>
    <xf numFmtId="0" fontId="9" fillId="0" borderId="8" xfId="1" applyNumberFormat="1" applyFont="1" applyFill="1" applyBorder="1" applyAlignment="1">
      <alignment horizontal="center"/>
    </xf>
    <xf numFmtId="0" fontId="9" fillId="0" borderId="9" xfId="1" applyNumberFormat="1" applyFont="1" applyFill="1" applyBorder="1" applyAlignment="1">
      <alignment horizontal="center"/>
    </xf>
    <xf numFmtId="0" fontId="4" fillId="0" borderId="0" xfId="0" applyFont="1" applyFill="1"/>
    <xf numFmtId="0" fontId="2" fillId="0" borderId="0" xfId="1" applyAlignment="1">
      <alignment horizontal="center" vertical="center"/>
    </xf>
    <xf numFmtId="0" fontId="2" fillId="0" borderId="0" xfId="1" applyAlignment="1">
      <alignment horizontal="left" vertical="center"/>
    </xf>
    <xf numFmtId="0" fontId="12" fillId="0" borderId="0" xfId="1" applyFont="1" applyAlignment="1">
      <alignment horizontal="left" vertical="center"/>
    </xf>
    <xf numFmtId="0" fontId="12" fillId="0" borderId="6" xfId="0" applyFont="1" applyBorder="1" applyAlignment="1">
      <alignment horizontal="left" vertical="center"/>
    </xf>
    <xf numFmtId="2" fontId="0" fillId="0" borderId="0" xfId="0" applyNumberFormat="1"/>
    <xf numFmtId="164" fontId="0" fillId="0" borderId="0" xfId="0" applyNumberFormat="1"/>
    <xf numFmtId="0" fontId="0" fillId="0" borderId="5" xfId="0" applyFont="1" applyBorder="1"/>
    <xf numFmtId="0" fontId="14" fillId="0" borderId="0" xfId="0" applyFont="1"/>
    <xf numFmtId="1" fontId="0" fillId="0" borderId="0" xfId="0" applyNumberFormat="1"/>
    <xf numFmtId="11" fontId="0" fillId="0" borderId="0" xfId="0" applyNumberFormat="1"/>
    <xf numFmtId="9" fontId="0" fillId="0" borderId="0" xfId="2" applyFont="1"/>
    <xf numFmtId="165" fontId="0" fillId="0" borderId="0" xfId="0" applyNumberFormat="1"/>
    <xf numFmtId="0" fontId="0" fillId="0" borderId="6" xfId="0" applyFont="1" applyBorder="1"/>
    <xf numFmtId="0" fontId="0" fillId="0" borderId="0" xfId="0" pivotButton="1"/>
    <xf numFmtId="0" fontId="0" fillId="0" borderId="0" xfId="0" applyAlignment="1">
      <alignment horizontal="left"/>
    </xf>
    <xf numFmtId="0" fontId="4" fillId="5" borderId="10" xfId="0" applyFont="1" applyFill="1" applyBorder="1"/>
    <xf numFmtId="0" fontId="0" fillId="0" borderId="0" xfId="0" applyNumberFormat="1"/>
    <xf numFmtId="164" fontId="0" fillId="0" borderId="0" xfId="0" applyNumberFormat="1" applyAlignment="1">
      <alignment horizontal="left" indent="1"/>
    </xf>
    <xf numFmtId="170" fontId="0" fillId="0" borderId="0" xfId="2" applyNumberFormat="1" applyFont="1"/>
    <xf numFmtId="9" fontId="0" fillId="0" borderId="5" xfId="2" applyNumberFormat="1" applyFont="1" applyBorder="1"/>
    <xf numFmtId="1" fontId="0" fillId="0" borderId="0" xfId="2" applyNumberFormat="1" applyFont="1"/>
    <xf numFmtId="0" fontId="0" fillId="0" borderId="0" xfId="0" applyAlignment="1">
      <alignment horizontal="left" vertical="center" wrapText="1"/>
    </xf>
    <xf numFmtId="164" fontId="0" fillId="0" borderId="5" xfId="0" applyNumberFormat="1" applyFont="1" applyBorder="1"/>
    <xf numFmtId="9" fontId="0" fillId="0" borderId="0" xfId="0" applyNumberFormat="1"/>
    <xf numFmtId="0" fontId="0" fillId="0" borderId="0" xfId="0" applyAlignment="1">
      <alignment horizontal="left" vertical="center"/>
    </xf>
    <xf numFmtId="0" fontId="4" fillId="0" borderId="0" xfId="0" applyFont="1"/>
    <xf numFmtId="0" fontId="0" fillId="0" borderId="0" xfId="0" applyFill="1"/>
    <xf numFmtId="9" fontId="0" fillId="0" borderId="0" xfId="2" applyFont="1" applyFill="1"/>
    <xf numFmtId="9" fontId="0" fillId="0" borderId="5" xfId="2" applyFont="1" applyFill="1" applyBorder="1"/>
    <xf numFmtId="0" fontId="0" fillId="0" borderId="0" xfId="1" applyFont="1" applyFill="1" applyAlignment="1">
      <alignment horizontal="center" vertical="center"/>
    </xf>
    <xf numFmtId="0" fontId="2" fillId="0" borderId="0" xfId="1" applyFill="1" applyAlignment="1">
      <alignment horizontal="left" vertical="center"/>
    </xf>
  </cellXfs>
  <cellStyles count="3">
    <cellStyle name="Normal" xfId="0" builtinId="0"/>
    <cellStyle name="Normal 2" xfId="1"/>
    <cellStyle name="Percent" xfId="2" builtinId="5"/>
  </cellStyles>
  <dxfs count="27">
    <dxf>
      <numFmt numFmtId="0" formatCode="General"/>
    </dxf>
    <dxf>
      <numFmt numFmtId="0" formatCode="General"/>
    </dxf>
    <dxf>
      <numFmt numFmtId="1" formatCode="0"/>
    </dxf>
    <dxf>
      <numFmt numFmtId="1" formatCode="0"/>
    </dxf>
    <dxf>
      <numFmt numFmtId="1" formatCode="0"/>
    </dxf>
    <dxf>
      <numFmt numFmtId="1" formatCode="0"/>
    </dxf>
    <dxf>
      <font>
        <b val="0"/>
        <i val="0"/>
        <strike val="0"/>
        <condense val="0"/>
        <extend val="0"/>
        <outline val="0"/>
        <shadow val="0"/>
        <u val="none"/>
        <vertAlign val="baseline"/>
        <sz val="11"/>
        <color theme="1"/>
        <name val="Calibri"/>
        <scheme val="minor"/>
      </font>
      <numFmt numFmtId="170" formatCode="0.0%"/>
    </dxf>
    <dxf>
      <alignment horizontal="left" vertical="center" textRotation="0" wrapText="1" indent="0" justifyLastLine="0" shrinkToFit="0" readingOrder="0"/>
    </dxf>
    <dxf>
      <font>
        <b val="0"/>
        <i val="0"/>
        <strike val="0"/>
        <condense val="0"/>
        <extend val="0"/>
        <outline val="0"/>
        <shadow val="0"/>
        <u val="none"/>
        <vertAlign val="baseline"/>
        <sz val="11"/>
        <color theme="1"/>
        <name val="Calibri"/>
        <scheme val="minor"/>
      </font>
    </dxf>
    <dxf>
      <numFmt numFmtId="164" formatCode="0.0"/>
    </dxf>
    <dxf>
      <font>
        <b val="0"/>
        <i val="0"/>
        <strike val="0"/>
        <condense val="0"/>
        <extend val="0"/>
        <outline val="0"/>
        <shadow val="0"/>
        <u val="none"/>
        <vertAlign val="baseline"/>
        <sz val="11"/>
        <color theme="1"/>
        <name val="Calibri"/>
        <scheme val="minor"/>
      </font>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alignment horizontal="center" vertical="center" textRotation="0" wrapText="0" indent="0" justifyLastLine="0" shrinkToFit="0" readingOrder="0"/>
    </dxf>
    <dxf>
      <fill>
        <patternFill patternType="none">
          <fgColor indexed="64"/>
          <bgColor auto="1"/>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outline="0">
        <left/>
        <right/>
        <top style="thin">
          <color theme="4" tint="0.39997558519241921"/>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border diagonalUp="0" diagonalDown="0">
        <left style="medium">
          <color indexed="64"/>
        </left>
        <right/>
        <top/>
        <bottom/>
        <vertical/>
        <horizontal/>
      </border>
    </dxf>
    <dxf>
      <numFmt numFmtId="1" formatCode="0"/>
      <border diagonalUp="0" diagonalDown="0">
        <left/>
        <right style="medium">
          <color indexed="64"/>
        </right>
        <top/>
        <bottom/>
        <vertical/>
        <horizontal/>
      </border>
    </dxf>
    <dxf>
      <border diagonalUp="0" diagonalDown="0">
        <left style="medium">
          <color indexed="64"/>
        </left>
        <right/>
        <top/>
        <bottom/>
        <vertical/>
        <horizontal/>
      </border>
    </dxf>
    <dxf>
      <border outline="0">
        <left style="medium">
          <color indexed="64"/>
        </left>
        <right style="medium">
          <color indexed="64"/>
        </right>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3689.493066898147" createdVersion="6" refreshedVersion="6" minRefreshableVersion="3" recordCount="17">
  <cacheSource type="worksheet">
    <worksheetSource name="טבלה5"/>
  </cacheSource>
  <cacheFields count="8">
    <cacheField name="Segment" numFmtId="0">
      <sharedItems count="3">
        <s v="Stomach"/>
        <s v="Small intestine"/>
        <s v="Colon"/>
      </sharedItems>
    </cacheField>
    <cacheField name="Sub segment" numFmtId="0">
      <sharedItems/>
    </cacheField>
    <cacheField name="Turnover (Days)" numFmtId="0">
      <sharedItems containsSemiMixedTypes="0" containsString="0" containsNumber="1" minValue="0.83" maxValue="5.5"/>
    </cacheField>
    <cacheField name="SD" numFmtId="0">
      <sharedItems containsMixedTypes="1" containsNumber="1" minValue="0.17" maxValue="1.21"/>
    </cacheField>
    <cacheField name="N" numFmtId="0">
      <sharedItems containsSemiMixedTypes="0" containsString="0" containsNumber="1" containsInteger="1" minValue="1" maxValue="66"/>
    </cacheField>
    <cacheField name="Additional information" numFmtId="0">
      <sharedItems containsBlank="1"/>
    </cacheField>
    <cacheField name="Method" numFmtId="0">
      <sharedItems count="3">
        <s v="H-Thymidine, in vivo"/>
        <s v="BrdUrd, in vivo"/>
        <s v="Histological study"/>
      </sharedItems>
    </cacheField>
    <cacheField name="Referenc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
  <r>
    <x v="0"/>
    <s v="Stomach"/>
    <n v="5"/>
    <n v="1"/>
    <n v="2"/>
    <m/>
    <x v="0"/>
    <s v="(Macdonald et al., 1964)"/>
  </r>
  <r>
    <x v="0"/>
    <s v="Stomach"/>
    <n v="3.5"/>
    <n v="0.5"/>
    <n v="3"/>
    <m/>
    <x v="0"/>
    <s v="(Lipkin et al., 1963b)"/>
  </r>
  <r>
    <x v="0"/>
    <s v="Stomach"/>
    <n v="3.46"/>
    <n v="1.21"/>
    <n v="16"/>
    <s v="Gastric body"/>
    <x v="1"/>
    <s v="(Patel et al., 1993)"/>
  </r>
  <r>
    <x v="0"/>
    <s v="Stomach"/>
    <n v="2.58"/>
    <n v="1.17"/>
    <n v="10"/>
    <s v="Gastric antrum"/>
    <x v="1"/>
    <s v="(Patel et al., 1993)"/>
  </r>
  <r>
    <x v="0"/>
    <s v="Stomach"/>
    <n v="3.43"/>
    <n v="1.1399999999999999"/>
    <n v="4"/>
    <m/>
    <x v="0"/>
    <s v="(Wright et al., 1977)"/>
  </r>
  <r>
    <x v="1"/>
    <s v="Duodenum"/>
    <n v="5.42"/>
    <s v="          "/>
    <n v="1"/>
    <s v="Individual 1"/>
    <x v="0"/>
    <s v="(Macdonald et al., 1964)"/>
  </r>
  <r>
    <x v="1"/>
    <s v="Duodenum"/>
    <n v="5.5"/>
    <n v="0.5"/>
    <n v="1"/>
    <s v="Individual 2"/>
    <x v="0"/>
    <s v="(Macdonald et al., 1964)"/>
  </r>
  <r>
    <x v="1"/>
    <s v="Duodenum"/>
    <n v="2"/>
    <s v="NA"/>
    <n v="56"/>
    <m/>
    <x v="2"/>
    <s v="(Bertalanffy and Nagy, 1961)"/>
  </r>
  <r>
    <x v="1"/>
    <s v="Duodenum"/>
    <n v="1.26"/>
    <n v="0.17"/>
    <n v="2"/>
    <m/>
    <x v="0"/>
    <s v="(Weinstein, 1974)"/>
  </r>
  <r>
    <x v="1"/>
    <s v="Jejunum"/>
    <n v="5"/>
    <s v="NA"/>
    <n v="3"/>
    <m/>
    <x v="0"/>
    <s v="(Shorter et al., 1964)"/>
  </r>
  <r>
    <x v="1"/>
    <s v="Ileum"/>
    <n v="1.4"/>
    <s v="NA"/>
    <n v="6"/>
    <m/>
    <x v="2"/>
    <s v="(Bullen et al., 2006)"/>
  </r>
  <r>
    <x v="1"/>
    <s v="Ileum"/>
    <n v="3"/>
    <s v="NA"/>
    <n v="3"/>
    <m/>
    <x v="0"/>
    <s v="(Lipkin et al., 1963b)"/>
  </r>
  <r>
    <x v="2"/>
    <s v="Colon"/>
    <n v="1"/>
    <s v="NA"/>
    <n v="2"/>
    <m/>
    <x v="0"/>
    <s v="(Lipkin et al., 1963a)"/>
  </r>
  <r>
    <x v="2"/>
    <s v="Colon"/>
    <n v="0.83"/>
    <s v="NA"/>
    <n v="3"/>
    <m/>
    <x v="0"/>
    <s v="(Lipkin et al., 1963b)"/>
  </r>
  <r>
    <x v="2"/>
    <s v="Colon"/>
    <n v="3.41"/>
    <s v="NA"/>
    <n v="66"/>
    <m/>
    <x v="1"/>
    <s v="(Potten et al., 1992)"/>
  </r>
  <r>
    <x v="2"/>
    <s v="Colon"/>
    <n v="1.63"/>
    <s v="NA"/>
    <n v="1"/>
    <m/>
    <x v="0"/>
    <s v="(Lipkin et al., 1969)"/>
  </r>
  <r>
    <x v="2"/>
    <s v="Colon"/>
    <n v="3.04"/>
    <n v="0.25"/>
    <n v="8"/>
    <m/>
    <x v="0"/>
    <s v="(Bleiberg and Galand, 19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N3:R8" firstHeaderRow="1" firstDataRow="2" firstDataCol="1"/>
  <pivotFields count="8">
    <pivotField axis="axisRow" showAll="0">
      <items count="4">
        <item x="2"/>
        <item x="1"/>
        <item x="0"/>
        <item t="default"/>
      </items>
    </pivotField>
    <pivotField showAll="0"/>
    <pivotField dataField="1" showAll="0"/>
    <pivotField showAll="0"/>
    <pivotField showAll="0"/>
    <pivotField showAll="0"/>
    <pivotField axis="axisCol" showAll="0">
      <items count="4">
        <item x="1"/>
        <item x="2"/>
        <item x="0"/>
        <item t="default"/>
      </items>
    </pivotField>
    <pivotField showAll="0"/>
  </pivotFields>
  <rowFields count="1">
    <field x="0"/>
  </rowFields>
  <rowItems count="4">
    <i>
      <x/>
    </i>
    <i>
      <x v="1"/>
    </i>
    <i>
      <x v="2"/>
    </i>
    <i t="grand">
      <x/>
    </i>
  </rowItems>
  <colFields count="1">
    <field x="6"/>
  </colFields>
  <colItems count="4">
    <i>
      <x/>
    </i>
    <i>
      <x v="1"/>
    </i>
    <i>
      <x v="2"/>
    </i>
    <i t="grand">
      <x/>
    </i>
  </colItems>
  <dataFields count="1">
    <dataField name="Average of Turnover (Days)" fld="2" subtotal="average" baseField="0" baseItem="0"/>
  </dataFields>
  <formats count="1">
    <format dxfId="9">
      <pivotArea collapsedLevelsAreSubtotals="1" fieldPosition="0">
        <references count="1">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V7:Z12" firstHeaderRow="1" firstDataRow="2" firstDataCol="1"/>
  <pivotFields count="8">
    <pivotField axis="axisRow" showAll="0">
      <items count="4">
        <item x="2"/>
        <item x="1"/>
        <item x="0"/>
        <item t="default"/>
      </items>
    </pivotField>
    <pivotField showAll="0"/>
    <pivotField showAll="0"/>
    <pivotField showAll="0"/>
    <pivotField dataField="1" showAll="0"/>
    <pivotField showAll="0"/>
    <pivotField axis="axisCol" showAll="0">
      <items count="4">
        <item x="1"/>
        <item x="2"/>
        <item x="0"/>
        <item t="default"/>
      </items>
    </pivotField>
    <pivotField showAll="0"/>
  </pivotFields>
  <rowFields count="1">
    <field x="0"/>
  </rowFields>
  <rowItems count="4">
    <i>
      <x/>
    </i>
    <i>
      <x v="1"/>
    </i>
    <i>
      <x v="2"/>
    </i>
    <i t="grand">
      <x/>
    </i>
  </rowItems>
  <colFields count="1">
    <field x="6"/>
  </colFields>
  <colItems count="4">
    <i>
      <x/>
    </i>
    <i>
      <x v="1"/>
    </i>
    <i>
      <x v="2"/>
    </i>
    <i t="grand">
      <x/>
    </i>
  </colItems>
  <dataFields count="1">
    <dataField name="Count of N" fld="4" subtotal="count"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טבלה7" displayName="טבלה7" ref="A2:E6" totalsRowShown="0" tableBorderDxfId="26">
  <autoFilter ref="A2:E6"/>
  <tableColumns count="5">
    <tableColumn id="1" name="level" dataCellStyle="Normal 2"/>
    <tableColumn id="3" name="factor 1975" dataDxfId="25" dataCellStyle="Normal 2"/>
    <tableColumn id="4" name="SA [m^2]" dataDxfId="24" dataCellStyle="Normal 2"/>
    <tableColumn id="5" name="factor 2014" dataDxfId="23" dataCellStyle="Normal 2"/>
    <tableColumn id="6" name="revised SA [m^2] "/>
  </tableColumns>
  <tableStyleInfo name="TableStyleMedium2" showFirstColumn="0" showLastColumn="0" showRowStripes="1" showColumnStripes="0"/>
</table>
</file>

<file path=xl/tables/table10.xml><?xml version="1.0" encoding="utf-8"?>
<table xmlns="http://schemas.openxmlformats.org/spreadsheetml/2006/main" id="8" name="Table119" displayName="Table119" ref="A1:F9" totalsRowShown="0">
  <autoFilter ref="A1:F9"/>
  <tableColumns count="6">
    <tableColumn id="1" name="parameter"/>
    <tableColumn id="2" name="value"/>
    <tableColumn id="3" name="SD" dataDxfId="1"/>
    <tableColumn id="5" name="units"/>
    <tableColumn id="4" name="sources"/>
    <tableColumn id="6" name="comments"/>
  </tableColumns>
  <tableStyleInfo name="TableStyleMedium2" showFirstColumn="0" showLastColumn="0" showRowStripes="1" showColumnStripes="0"/>
</table>
</file>

<file path=xl/tables/table2.xml><?xml version="1.0" encoding="utf-8"?>
<table xmlns="http://schemas.openxmlformats.org/spreadsheetml/2006/main" id="3" name="טבלה3" displayName="טבלה3" ref="A2:F21" totalsRowShown="0" headerRowDxfId="22" dataDxfId="21" tableBorderDxfId="20" headerRowCellStyle="Normal 2" dataCellStyle="Normal 2">
  <autoFilter ref="A2:F21"/>
  <tableColumns count="6">
    <tableColumn id="1" name="parameter" dataDxfId="19" dataCellStyle="Normal 2"/>
    <tableColumn id="2" name="rabbit" dataDxfId="18" dataCellStyle="Normal 2"/>
    <tableColumn id="3" name="rat" dataDxfId="17" dataCellStyle="Normal 2"/>
    <tableColumn id="4" name="pigs" dataDxfId="16" dataCellStyle="Normal 2"/>
    <tableColumn id="6" name="dog" dataDxfId="15" dataCellStyle="Normal 2"/>
    <tableColumn id="7" name="human" dataDxfId="14"/>
  </tableColumns>
  <tableStyleInfo name="TableStyleMedium2" showFirstColumn="0" showLastColumn="0" showRowStripes="1" showColumnStripes="0"/>
</table>
</file>

<file path=xl/tables/table3.xml><?xml version="1.0" encoding="utf-8"?>
<table xmlns="http://schemas.openxmlformats.org/spreadsheetml/2006/main" id="4" name="GITepithelSources" displayName="GITepithelSources" ref="J1:L18" totalsRowShown="0" headerRowDxfId="13" headerRowCellStyle="Normal 2">
  <autoFilter ref="J1:L18"/>
  <tableColumns count="3">
    <tableColumn id="1" name="#" dataDxfId="12" dataCellStyle="Normal 2">
      <calculatedColumnFormula>"[" &amp; ROW()-ROW(GITepithelSources[[#Headers],['#]]) &amp;"]"</calculatedColumnFormula>
    </tableColumn>
    <tableColumn id="2" name="ab." dataDxfId="11" dataCellStyle="Normal 2"/>
    <tableColumn id="3" name="source" dataDxfId="10" dataCellStyle="Normal 2"/>
  </tableColumns>
  <tableStyleInfo name="TableStyleMedium2" showFirstColumn="0" showLastColumn="0" showRowStripes="1" showColumnStripes="0"/>
</table>
</file>

<file path=xl/tables/table4.xml><?xml version="1.0" encoding="utf-8"?>
<table xmlns="http://schemas.openxmlformats.org/spreadsheetml/2006/main" id="10" name="Table10" displayName="Table10" ref="A1:D4" totalsRowShown="0">
  <autoFilter ref="A1:D4"/>
  <tableColumns count="4">
    <tableColumn id="1" name="segment"/>
    <tableColumn id="2" name="total mass [g]"/>
    <tableColumn id="3" name="pottasium [g]"/>
    <tableColumn id="5" name="pottasium SD [g]" dataDxfId="0"/>
  </tableColumns>
  <tableStyleInfo name="TableStyleMedium2" showFirstColumn="0" showLastColumn="0" showRowStripes="1" showColumnStripes="0"/>
</table>
</file>

<file path=xl/tables/table5.xml><?xml version="1.0" encoding="utf-8"?>
<table xmlns="http://schemas.openxmlformats.org/spreadsheetml/2006/main" id="11" name="Table1112" displayName="Table1112" ref="A1:E3" totalsRowShown="0">
  <autoFilter ref="A1:E3"/>
  <tableColumns count="5">
    <tableColumn id="1" name="parameter"/>
    <tableColumn id="2" name="value"/>
    <tableColumn id="3" name="SD"/>
    <tableColumn id="5" name="units"/>
    <tableColumn id="4" name="sources"/>
  </tableColumns>
  <tableStyleInfo name="TableStyleMedium2" showFirstColumn="0" showLastColumn="0" showRowStripes="1" showColumnStripes="0"/>
</table>
</file>

<file path=xl/tables/table6.xml><?xml version="1.0" encoding="utf-8"?>
<table xmlns="http://schemas.openxmlformats.org/spreadsheetml/2006/main" id="5" name="טבלה5" displayName="טבלה5" ref="A1:H18" totalsRowShown="0">
  <autoFilter ref="A1:H18"/>
  <tableColumns count="8">
    <tableColumn id="1" name="Segment"/>
    <tableColumn id="8" name="Sub segment"/>
    <tableColumn id="2" name="Turnover (Days)"/>
    <tableColumn id="3" name="SD"/>
    <tableColumn id="4" name="N"/>
    <tableColumn id="5" name="Additional information"/>
    <tableColumn id="6" name="Method"/>
    <tableColumn id="7" name="References"/>
  </tableColumns>
  <tableStyleInfo name="TableStyleMedium2" showFirstColumn="0" showLastColumn="0" showRowStripes="1" showColumnStripes="0"/>
</table>
</file>

<file path=xl/tables/table7.xml><?xml version="1.0" encoding="utf-8"?>
<table xmlns="http://schemas.openxmlformats.org/spreadsheetml/2006/main" id="6" name="Table11" displayName="Table11" ref="A1:F7" totalsRowShown="0">
  <autoFilter ref="A1:F7"/>
  <tableColumns count="6">
    <tableColumn id="1" name="parameter"/>
    <tableColumn id="2" name="value"/>
    <tableColumn id="3" name="SD"/>
    <tableColumn id="5" name="units"/>
    <tableColumn id="4" name="sources"/>
    <tableColumn id="6" name="comments"/>
  </tableColumns>
  <tableStyleInfo name="TableStyleMedium2" showFirstColumn="0" showLastColumn="0" showRowStripes="1" showColumnStripes="0"/>
</table>
</file>

<file path=xl/tables/table8.xml><?xml version="1.0" encoding="utf-8"?>
<table xmlns="http://schemas.openxmlformats.org/spreadsheetml/2006/main" id="7" name="crypt_cells" displayName="crypt_cells" ref="A1:B7" totalsRowShown="0">
  <autoFilter ref="A1:B7"/>
  <tableColumns count="2">
    <tableColumn id="1" name="patient"/>
    <tableColumn id="2" name="mean crypt cells"/>
  </tableColumns>
  <tableStyleInfo name="TableStyleMedium2" showFirstColumn="0" showLastColumn="0" showRowStripes="1" showColumnStripes="0"/>
</table>
</file>

<file path=xl/tables/table9.xml><?xml version="1.0" encoding="utf-8"?>
<table xmlns="http://schemas.openxmlformats.org/spreadsheetml/2006/main" id="2" name="Table2" displayName="Table2" ref="A1:G6" totalsRowShown="0" headerRowDxfId="7">
  <autoFilter ref="A1:G6"/>
  <tableColumns count="7">
    <tableColumn id="1" name="location"/>
    <tableColumn id="2" name="mean mucus volume density (%)" dataDxfId="8" dataCellStyle="Percent"/>
    <tableColumn id="3" name="SEM mucus volume density (%) " dataDxfId="6" dataCellStyle="Percent"/>
    <tableColumn id="4" name="mean mucus volume per cell (fl)" dataDxfId="5"/>
    <tableColumn id="5" name="SEM mucus volume per cell (fl)" dataDxfId="4"/>
    <tableColumn id="8" name="mean cell volume (fl)" dataDxfId="3">
      <calculatedColumnFormula>Table2[[#This Row],[mean mucus volume per cell (fl)]]/Table2[[#This Row],[mean mucus volume density (%)]]</calculatedColumnFormula>
    </tableColumn>
    <tableColumn id="9" name="SEM cell volume (fl)" dataDxfId="2">
      <calculatedColumnFormula>SQRT(SUMSQ(Table2[[#This Row],[SEM mucus volume per cell (fl)]]/Table2[[#This Row],[mean mucus volume density (%)]],Table2[[#This Row],[mean mucus volume per cell (fl)]]*Table2[[#This Row],[SEM mucus volume density (%) ]]/(Table2[[#This Row],[mean mucus volume density (%)]]^2)))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7.xml.rels><?xml version="1.0" encoding="UTF-8" standalone="yes"?>
<Relationships xmlns="http://schemas.openxmlformats.org/package/2006/relationships"><Relationship Id="rId1" Type="http://schemas.openxmlformats.org/officeDocument/2006/relationships/table" Target="../tables/table8.xml"/></Relationships>
</file>

<file path=xl/worksheets/_rels/sheet8.xml.rels><?xml version="1.0" encoding="UTF-8" standalone="yes"?>
<Relationships xmlns="http://schemas.openxmlformats.org/package/2006/relationships"><Relationship Id="rId1" Type="http://schemas.openxmlformats.org/officeDocument/2006/relationships/table" Target="../tables/table9.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zoomScaleNormal="100" workbookViewId="0">
      <selection activeCell="E5" sqref="E5"/>
    </sheetView>
  </sheetViews>
  <sheetFormatPr defaultRowHeight="15"/>
  <cols>
    <col min="1" max="1" width="11.42578125" customWidth="1"/>
    <col min="5" max="5" width="10.5703125" customWidth="1"/>
  </cols>
  <sheetData>
    <row r="1" spans="1:5" ht="15.75" thickBot="1">
      <c r="A1" t="s">
        <v>1</v>
      </c>
      <c r="B1" t="s">
        <v>2</v>
      </c>
      <c r="D1" t="s">
        <v>3</v>
      </c>
    </row>
    <row r="2" spans="1:5" ht="17.25">
      <c r="A2" s="1" t="s">
        <v>8</v>
      </c>
      <c r="B2" s="2" t="s">
        <v>7</v>
      </c>
      <c r="C2" s="3" t="s">
        <v>4</v>
      </c>
      <c r="D2" s="4" t="s">
        <v>6</v>
      </c>
      <c r="E2" s="5" t="s">
        <v>5</v>
      </c>
    </row>
    <row r="3" spans="1:5">
      <c r="A3" s="6" t="s">
        <v>11</v>
      </c>
      <c r="B3" s="6">
        <v>1</v>
      </c>
      <c r="C3" s="7">
        <f>1/3</f>
        <v>0.33333333333333331</v>
      </c>
      <c r="D3" s="6">
        <v>1</v>
      </c>
      <c r="E3" s="7">
        <f>2.91*0.025*PI()</f>
        <v>0.22855086554865747</v>
      </c>
    </row>
    <row r="4" spans="1:5">
      <c r="A4" s="6" t="s">
        <v>0</v>
      </c>
      <c r="B4" s="6">
        <v>3</v>
      </c>
      <c r="C4" s="8">
        <f>C3*טבלה7[factor 1975]</f>
        <v>1</v>
      </c>
      <c r="D4" s="9">
        <v>1.57</v>
      </c>
      <c r="E4" s="10">
        <f>E3*טבלה7[[#This Row],[factor 2014]]</f>
        <v>0.35882485891139226</v>
      </c>
    </row>
    <row r="5" spans="1:5">
      <c r="A5" s="6" t="s">
        <v>9</v>
      </c>
      <c r="B5" s="6">
        <v>10</v>
      </c>
      <c r="C5" s="8">
        <f>C4*טבלה7[factor 1975]</f>
        <v>10</v>
      </c>
      <c r="D5" s="6">
        <v>6.5</v>
      </c>
      <c r="E5" s="10">
        <f>E4*טבלה7[[#This Row],[factor 2014]]</f>
        <v>2.3323615829240496</v>
      </c>
    </row>
    <row r="6" spans="1:5" ht="15.75" thickBot="1">
      <c r="A6" s="11" t="s">
        <v>10</v>
      </c>
      <c r="B6" s="11">
        <v>20</v>
      </c>
      <c r="C6" s="8">
        <f>C5*טבלה7[factor 1975]</f>
        <v>200</v>
      </c>
      <c r="D6" s="11">
        <v>13</v>
      </c>
      <c r="E6" s="10">
        <f>E5*טבלה7[[#This Row],[factor 2014]]</f>
        <v>30.320700578012644</v>
      </c>
    </row>
  </sheetData>
  <pageMargins left="0.7" right="0.7" top="0.75" bottom="0.75" header="0.3" footer="0.3"/>
  <pageSetup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zoomScaleNormal="100" workbookViewId="0">
      <selection activeCell="M33" sqref="M33"/>
    </sheetView>
  </sheetViews>
  <sheetFormatPr defaultRowHeight="15"/>
  <cols>
    <col min="1" max="1" width="35.28515625" customWidth="1"/>
    <col min="6" max="6" width="13.85546875" bestFit="1" customWidth="1"/>
    <col min="11" max="11" width="16.28515625" customWidth="1"/>
    <col min="12" max="12" width="10.5703125" customWidth="1"/>
  </cols>
  <sheetData>
    <row r="1" spans="1:12">
      <c r="A1" s="26" t="s">
        <v>30</v>
      </c>
      <c r="B1" s="24" t="s">
        <v>13</v>
      </c>
      <c r="C1" s="24" t="s">
        <v>28</v>
      </c>
      <c r="D1" s="24" t="s">
        <v>29</v>
      </c>
      <c r="E1" s="25" t="s">
        <v>14</v>
      </c>
      <c r="F1" s="24" t="s">
        <v>175</v>
      </c>
      <c r="J1" s="27" t="s">
        <v>31</v>
      </c>
      <c r="K1" s="27" t="s">
        <v>32</v>
      </c>
      <c r="L1" s="27" t="s">
        <v>33</v>
      </c>
    </row>
    <row r="2" spans="1:12">
      <c r="A2" s="12" t="s">
        <v>12</v>
      </c>
      <c r="B2" s="13" t="s">
        <v>15</v>
      </c>
      <c r="C2" s="13" t="s">
        <v>16</v>
      </c>
      <c r="D2" s="13" t="s">
        <v>17</v>
      </c>
      <c r="E2" s="13" t="s">
        <v>19</v>
      </c>
      <c r="F2" s="13" t="s">
        <v>18</v>
      </c>
      <c r="J2" s="27" t="str">
        <f>"[" &amp; ROW()-ROW(GITepithelSources[[#Headers],['#]]) &amp;"]"</f>
        <v>[1]</v>
      </c>
      <c r="K2" s="28" t="s">
        <v>34</v>
      </c>
      <c r="L2" s="29" t="s">
        <v>35</v>
      </c>
    </row>
    <row r="3" spans="1:12">
      <c r="A3" s="14" t="s">
        <v>93</v>
      </c>
      <c r="B3" s="14">
        <v>630</v>
      </c>
      <c r="C3" s="14">
        <f>AVERAGE(300,650)</f>
        <v>475</v>
      </c>
      <c r="D3" s="14">
        <f>AVERAGE(450,250)</f>
        <v>350</v>
      </c>
      <c r="E3" s="14">
        <f>AVERAGE(500,600)</f>
        <v>550</v>
      </c>
      <c r="F3" s="14"/>
      <c r="J3" s="27" t="str">
        <f>"[" &amp; ROW()-ROW(GITepithelSources[[#Headers],['#]]) &amp;"]"</f>
        <v>[2]</v>
      </c>
      <c r="K3" s="28" t="s">
        <v>36</v>
      </c>
      <c r="L3" s="29" t="s">
        <v>37</v>
      </c>
    </row>
    <row r="4" spans="1:12">
      <c r="A4" s="14" t="s">
        <v>94</v>
      </c>
      <c r="B4" s="14">
        <v>90</v>
      </c>
      <c r="C4" s="14">
        <v>120</v>
      </c>
      <c r="D4" s="14">
        <v>110</v>
      </c>
      <c r="E4" s="14">
        <f>AVERAGE(200,250)</f>
        <v>225</v>
      </c>
      <c r="F4" s="14"/>
      <c r="J4" s="27" t="str">
        <f>"[" &amp; ROW()-ROW(GITepithelSources[[#Headers],['#]]) &amp;"]"</f>
        <v>[3]</v>
      </c>
      <c r="K4" s="28" t="s">
        <v>3</v>
      </c>
      <c r="L4" s="29" t="s">
        <v>38</v>
      </c>
    </row>
    <row r="5" spans="1:12" ht="17.25">
      <c r="A5" s="14" t="s">
        <v>92</v>
      </c>
      <c r="B5" s="14"/>
      <c r="C5" s="14"/>
      <c r="D5" s="15">
        <f>0.05*10^-6</f>
        <v>4.9999999999999998E-8</v>
      </c>
      <c r="E5" s="15">
        <f>0.43*10^6</f>
        <v>430000</v>
      </c>
      <c r="F5" s="14"/>
      <c r="J5" s="27" t="str">
        <f>"[" &amp; ROW()-ROW(GITepithelSources[[#Headers],['#]]) &amp;"]"</f>
        <v>[4]</v>
      </c>
      <c r="K5" s="28" t="s">
        <v>39</v>
      </c>
      <c r="L5" s="29" t="s">
        <v>40</v>
      </c>
    </row>
    <row r="6" spans="1:12">
      <c r="A6" s="14" t="s">
        <v>20</v>
      </c>
      <c r="B6" s="14">
        <v>194</v>
      </c>
      <c r="C6" s="14"/>
      <c r="D6" s="14"/>
      <c r="E6" s="14"/>
      <c r="F6" s="14"/>
      <c r="J6" s="27" t="str">
        <f>"[" &amp; ROW()-ROW(GITepithelSources[[#Headers],['#]]) &amp;"]"</f>
        <v>[5]</v>
      </c>
      <c r="K6" s="28" t="s">
        <v>41</v>
      </c>
      <c r="L6" s="29" t="s">
        <v>42</v>
      </c>
    </row>
    <row r="7" spans="1:12">
      <c r="A7" s="14" t="s">
        <v>21</v>
      </c>
      <c r="B7" s="14"/>
      <c r="C7" s="14"/>
      <c r="D7" s="14">
        <f>15/2.5</f>
        <v>6</v>
      </c>
      <c r="E7" s="14"/>
      <c r="F7" s="14"/>
      <c r="J7" s="27" t="str">
        <f>"[" &amp; ROW()-ROW(GITepithelSources[[#Headers],['#]]) &amp;"]"</f>
        <v>[6]</v>
      </c>
      <c r="K7" s="28" t="s">
        <v>43</v>
      </c>
      <c r="L7" s="29" t="s">
        <v>44</v>
      </c>
    </row>
    <row r="8" spans="1:12" ht="17.25">
      <c r="A8" s="14" t="s">
        <v>22</v>
      </c>
      <c r="B8" s="16">
        <v>74000000</v>
      </c>
      <c r="C8" s="16">
        <v>30000000</v>
      </c>
      <c r="D8" s="16">
        <f>D7^2*10^6</f>
        <v>36000000</v>
      </c>
      <c r="E8" s="16">
        <v>16000000</v>
      </c>
      <c r="F8" s="14"/>
      <c r="J8" s="27" t="str">
        <f>"[" &amp; ROW()-ROW(GITepithelSources[[#Headers],['#]]) &amp;"]"</f>
        <v>[7]</v>
      </c>
      <c r="K8" s="28" t="s">
        <v>45</v>
      </c>
      <c r="L8" s="29" t="s">
        <v>46</v>
      </c>
    </row>
    <row r="9" spans="1:12" ht="17.25">
      <c r="A9" s="14" t="s">
        <v>23</v>
      </c>
      <c r="B9" s="17"/>
      <c r="C9" s="16">
        <f>AVERAGE(3,4.5) *POWER(10,7)</f>
        <v>37500000</v>
      </c>
      <c r="D9" s="14"/>
      <c r="E9" s="14"/>
      <c r="F9" s="14"/>
      <c r="G9" s="14"/>
      <c r="J9" s="27" t="str">
        <f>"[" &amp; ROW()-ROW(GITepithelSources[[#Headers],['#]]) &amp;"]"</f>
        <v>[8]</v>
      </c>
      <c r="K9" s="28" t="s">
        <v>47</v>
      </c>
      <c r="L9" s="29" t="s">
        <v>48</v>
      </c>
    </row>
    <row r="10" spans="1:12" ht="17.25">
      <c r="A10" s="14" t="s">
        <v>24</v>
      </c>
      <c r="B10" s="17"/>
      <c r="C10" s="16">
        <f>AVERAGE(1.5,2.5) *POWER(10,7)</f>
        <v>20000000</v>
      </c>
      <c r="D10" s="14"/>
      <c r="E10" s="14"/>
      <c r="F10" s="14"/>
      <c r="G10" s="14"/>
      <c r="J10" s="27" t="str">
        <f>"[" &amp; ROW()-ROW(GITepithelSources[[#Headers],['#]]) &amp;"]"</f>
        <v>[9]</v>
      </c>
      <c r="K10" s="28" t="s">
        <v>49</v>
      </c>
      <c r="L10" s="29" t="s">
        <v>50</v>
      </c>
    </row>
    <row r="11" spans="1:12">
      <c r="A11" s="14" t="s">
        <v>95</v>
      </c>
      <c r="B11" s="14">
        <v>145</v>
      </c>
      <c r="C11" s="14"/>
      <c r="D11" s="14">
        <v>350</v>
      </c>
      <c r="E11" s="14">
        <v>200</v>
      </c>
      <c r="F11" s="18">
        <f>AVERAGE(320,450)</f>
        <v>385</v>
      </c>
      <c r="G11" s="14"/>
      <c r="J11" s="27" t="str">
        <f>"[" &amp; ROW()-ROW(GITepithelSources[[#Headers],['#]]) &amp;"]"</f>
        <v>[10]</v>
      </c>
      <c r="K11" s="28" t="s">
        <v>51</v>
      </c>
      <c r="L11" s="29" t="s">
        <v>52</v>
      </c>
    </row>
    <row r="12" spans="1:12">
      <c r="A12" s="14" t="s">
        <v>96</v>
      </c>
      <c r="B12" s="14"/>
      <c r="C12" s="14"/>
      <c r="D12" s="14"/>
      <c r="E12" s="14"/>
      <c r="F12" s="14">
        <v>100</v>
      </c>
      <c r="G12" s="14"/>
      <c r="J12" s="27" t="str">
        <f>"[" &amp; ROW()-ROW(GITepithelSources[[#Headers],['#]]) &amp;"]"</f>
        <v>[11]</v>
      </c>
      <c r="K12" s="28" t="s">
        <v>53</v>
      </c>
      <c r="L12" s="29" t="s">
        <v>54</v>
      </c>
    </row>
    <row r="13" spans="1:12">
      <c r="A13" s="14" t="s">
        <v>25</v>
      </c>
      <c r="B13" s="14"/>
      <c r="C13" s="14"/>
      <c r="D13" s="14">
        <v>13</v>
      </c>
      <c r="E13" s="14"/>
      <c r="F13" s="14"/>
      <c r="G13" s="14"/>
      <c r="J13" s="27" t="str">
        <f>"[" &amp; ROW()-ROW(GITepithelSources[[#Headers],['#]]) &amp;"]"</f>
        <v>[12]</v>
      </c>
      <c r="K13" s="28" t="s">
        <v>55</v>
      </c>
      <c r="L13" s="29" t="s">
        <v>56</v>
      </c>
    </row>
    <row r="14" spans="1:12" ht="17.25">
      <c r="A14" s="14" t="s">
        <v>26</v>
      </c>
      <c r="B14" s="16"/>
      <c r="C14" s="16"/>
      <c r="D14" s="16">
        <f>D13^2*10^6</f>
        <v>169000000</v>
      </c>
      <c r="E14" s="14"/>
      <c r="F14" s="14"/>
      <c r="G14" s="19"/>
      <c r="J14" s="27" t="str">
        <f>"[" &amp; ROW()-ROW(GITepithelSources[[#Headers],['#]]) &amp;"]"</f>
        <v>[13]</v>
      </c>
      <c r="K14" s="28" t="s">
        <v>57</v>
      </c>
      <c r="L14" s="29" t="s">
        <v>58</v>
      </c>
    </row>
    <row r="15" spans="1:12">
      <c r="A15" s="14" t="s">
        <v>87</v>
      </c>
      <c r="B15" s="14"/>
      <c r="C15" s="14"/>
      <c r="D15" s="14">
        <f>25/125</f>
        <v>0.2</v>
      </c>
      <c r="E15" s="14"/>
      <c r="F15" s="14"/>
      <c r="G15" s="19"/>
      <c r="J15" s="27" t="str">
        <f>"[" &amp; ROW()-ROW(GITepithelSources[[#Headers],['#]]) &amp;"]"</f>
        <v>[14]</v>
      </c>
      <c r="K15" s="28" t="s">
        <v>59</v>
      </c>
      <c r="L15" s="29" t="s">
        <v>60</v>
      </c>
    </row>
    <row r="16" spans="1:12">
      <c r="A16" s="20" t="s">
        <v>88</v>
      </c>
      <c r="B16" s="14"/>
      <c r="C16" s="14"/>
      <c r="D16" s="21">
        <f>62/125</f>
        <v>0.496</v>
      </c>
      <c r="E16" s="14"/>
      <c r="F16" s="14"/>
      <c r="G16" s="19"/>
      <c r="J16" s="27" t="str">
        <f>"[" &amp; ROW()-ROW(GITepithelSources[[#Headers],['#]]) &amp;"]"</f>
        <v>[15]</v>
      </c>
      <c r="K16" s="28" t="s">
        <v>61</v>
      </c>
      <c r="L16" s="29" t="s">
        <v>62</v>
      </c>
    </row>
    <row r="17" spans="1:12">
      <c r="A17" s="14" t="s">
        <v>89</v>
      </c>
      <c r="B17" s="14"/>
      <c r="C17" s="14"/>
      <c r="D17" s="14"/>
      <c r="E17" s="14"/>
      <c r="F17" s="14">
        <v>7.5</v>
      </c>
      <c r="G17" s="19"/>
      <c r="J17" s="27" t="str">
        <f>"[" &amp; ROW()-ROW(GITepithelSources[[#Headers],['#]]) &amp;"]"</f>
        <v>[16]</v>
      </c>
      <c r="K17" s="28" t="s">
        <v>63</v>
      </c>
      <c r="L17" s="29" t="s">
        <v>64</v>
      </c>
    </row>
    <row r="18" spans="1:12" ht="17.25">
      <c r="A18" s="14" t="s">
        <v>90</v>
      </c>
      <c r="B18" s="14"/>
      <c r="C18" s="14"/>
      <c r="D18" s="14"/>
      <c r="E18" s="14"/>
      <c r="F18" s="22">
        <f>PI()*(F17/2)^2</f>
        <v>44.178646691106465</v>
      </c>
      <c r="G18" s="19"/>
      <c r="J18" s="56" t="str">
        <f>"[" &amp; ROW()-ROW(GITepithelSources[[#Headers],['#]]) &amp;"]"</f>
        <v>[17]</v>
      </c>
      <c r="K18" s="57" t="s">
        <v>177</v>
      </c>
      <c r="L18" t="s">
        <v>176</v>
      </c>
    </row>
    <row r="19" spans="1:12" ht="17.25">
      <c r="A19" s="14" t="s">
        <v>91</v>
      </c>
      <c r="B19" s="14"/>
      <c r="C19" s="14"/>
      <c r="D19" s="14"/>
      <c r="E19" s="14"/>
      <c r="F19" s="22">
        <v>800</v>
      </c>
      <c r="G19" s="19"/>
    </row>
    <row r="20" spans="1:12" ht="17.25">
      <c r="A20" s="14" t="s">
        <v>174</v>
      </c>
      <c r="B20" s="20"/>
      <c r="C20" s="20"/>
      <c r="D20" s="20"/>
      <c r="E20" s="20"/>
      <c r="F20" s="53">
        <v>150</v>
      </c>
      <c r="G20" s="19"/>
    </row>
    <row r="21" spans="1:12">
      <c r="A21" s="14" t="s">
        <v>27</v>
      </c>
      <c r="B21" s="14"/>
      <c r="C21" s="14"/>
      <c r="D21" s="14"/>
      <c r="E21" s="14"/>
      <c r="F21" s="23">
        <v>3</v>
      </c>
    </row>
  </sheetData>
  <pageMargins left="0.7" right="0.7" top="0.75" bottom="0.75" header="0.3" footer="0.3"/>
  <pageSetup orientation="portrait" horizontalDpi="0" verticalDpi="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I6" sqref="I6"/>
    </sheetView>
  </sheetViews>
  <sheetFormatPr defaultRowHeight="15"/>
  <cols>
    <col min="1" max="1" width="24.42578125" bestFit="1" customWidth="1"/>
    <col min="2" max="2" width="12.140625" customWidth="1"/>
    <col min="3" max="3" width="11" customWidth="1"/>
  </cols>
  <sheetData>
    <row r="1" spans="1:10">
      <c r="A1" t="s">
        <v>178</v>
      </c>
      <c r="B1" t="s">
        <v>181</v>
      </c>
      <c r="C1" t="s">
        <v>179</v>
      </c>
      <c r="D1" t="s">
        <v>180</v>
      </c>
    </row>
    <row r="2" spans="1:10">
      <c r="A2" t="s">
        <v>122</v>
      </c>
      <c r="B2">
        <v>150</v>
      </c>
      <c r="C2">
        <v>0.21</v>
      </c>
      <c r="D2" s="31">
        <f>(0.3-0.12)/(2*_xlfn.NORM.INV(0.9,0,1))</f>
        <v>7.0227373146514102E-2</v>
      </c>
      <c r="I2" s="52" t="s">
        <v>187</v>
      </c>
      <c r="J2" s="39" t="s">
        <v>36</v>
      </c>
    </row>
    <row r="3" spans="1:10">
      <c r="A3" t="s">
        <v>133</v>
      </c>
      <c r="B3">
        <v>640</v>
      </c>
      <c r="C3">
        <v>0.87</v>
      </c>
      <c r="D3" s="32">
        <f>(1.4-0.4)/(2*_xlfn.NORM.INV(0.9,0,1))</f>
        <v>0.39015207303618943</v>
      </c>
    </row>
    <row r="4" spans="1:10">
      <c r="A4" t="s">
        <v>128</v>
      </c>
      <c r="B4">
        <v>370</v>
      </c>
      <c r="C4">
        <v>0.41</v>
      </c>
      <c r="D4" s="31">
        <f>(0.19-0.07)/(2*_xlfn.NORM.INV(0.9,0,1))</f>
        <v>4.6818248764342735E-2</v>
      </c>
    </row>
    <row r="5" spans="1:10">
      <c r="H5" s="5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G14" sqref="G14"/>
    </sheetView>
  </sheetViews>
  <sheetFormatPr defaultRowHeight="15"/>
  <cols>
    <col min="1" max="1" width="24.42578125" bestFit="1" customWidth="1"/>
  </cols>
  <sheetData>
    <row r="1" spans="1:5">
      <c r="A1" t="s">
        <v>12</v>
      </c>
      <c r="B1" t="s">
        <v>97</v>
      </c>
      <c r="C1" t="s">
        <v>67</v>
      </c>
      <c r="D1" t="s">
        <v>98</v>
      </c>
      <c r="E1" t="s">
        <v>30</v>
      </c>
    </row>
    <row r="2" spans="1:5">
      <c r="A2" t="s">
        <v>182</v>
      </c>
      <c r="B2">
        <v>39.1</v>
      </c>
      <c r="C2">
        <v>0</v>
      </c>
      <c r="D2" t="s">
        <v>183</v>
      </c>
    </row>
    <row r="3" spans="1:5">
      <c r="A3" t="s">
        <v>184</v>
      </c>
      <c r="B3">
        <v>9.1999999999999998E-3</v>
      </c>
      <c r="C3">
        <v>1E-3</v>
      </c>
      <c r="D3" t="s">
        <v>185</v>
      </c>
      <c r="E3" t="s">
        <v>186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8"/>
  <sheetViews>
    <sheetView zoomScale="85" zoomScaleNormal="85" workbookViewId="0">
      <selection activeCell="C6" sqref="C6"/>
    </sheetView>
  </sheetViews>
  <sheetFormatPr defaultRowHeight="15"/>
  <cols>
    <col min="1" max="2" width="10.140625" customWidth="1"/>
    <col min="3" max="3" width="16.140625" customWidth="1"/>
    <col min="6" max="6" width="9.7109375" customWidth="1"/>
    <col min="7" max="7" width="19.5703125" bestFit="1" customWidth="1"/>
    <col min="8" max="8" width="12" customWidth="1"/>
    <col min="16" max="16" width="25.5703125" customWidth="1"/>
    <col min="17" max="17" width="16.28515625" bestFit="1" customWidth="1"/>
    <col min="18" max="18" width="16.7109375" bestFit="1" customWidth="1"/>
    <col min="19" max="19" width="19.5703125" customWidth="1"/>
    <col min="20" max="20" width="12.28515625" bestFit="1" customWidth="1"/>
    <col min="22" max="22" width="15.42578125" bestFit="1" customWidth="1"/>
    <col min="23" max="23" width="16.28515625" bestFit="1" customWidth="1"/>
    <col min="24" max="24" width="16.7109375" bestFit="1" customWidth="1"/>
    <col min="25" max="25" width="19.5703125" bestFit="1" customWidth="1"/>
    <col min="26" max="26" width="11.28515625" bestFit="1" customWidth="1"/>
  </cols>
  <sheetData>
    <row r="1" spans="1:26">
      <c r="A1" t="s">
        <v>65</v>
      </c>
      <c r="B1" t="s">
        <v>120</v>
      </c>
      <c r="C1" t="s">
        <v>66</v>
      </c>
      <c r="D1" t="s">
        <v>67</v>
      </c>
      <c r="E1" t="s">
        <v>68</v>
      </c>
      <c r="F1" t="s">
        <v>69</v>
      </c>
      <c r="G1" t="s">
        <v>70</v>
      </c>
      <c r="H1" t="s">
        <v>71</v>
      </c>
      <c r="N1" s="30" t="s">
        <v>64</v>
      </c>
    </row>
    <row r="2" spans="1:26">
      <c r="A2" t="s">
        <v>122</v>
      </c>
      <c r="B2" t="s">
        <v>122</v>
      </c>
      <c r="C2">
        <v>5</v>
      </c>
      <c r="D2">
        <v>1</v>
      </c>
      <c r="E2">
        <v>2</v>
      </c>
      <c r="G2" t="s">
        <v>121</v>
      </c>
      <c r="H2" t="s">
        <v>76</v>
      </c>
    </row>
    <row r="3" spans="1:26">
      <c r="A3" t="s">
        <v>122</v>
      </c>
      <c r="B3" t="s">
        <v>122</v>
      </c>
      <c r="C3">
        <v>3.5</v>
      </c>
      <c r="D3">
        <v>0.5</v>
      </c>
      <c r="E3">
        <v>3</v>
      </c>
      <c r="G3" t="s">
        <v>121</v>
      </c>
      <c r="H3" t="s">
        <v>86</v>
      </c>
      <c r="N3" s="40" t="s">
        <v>137</v>
      </c>
      <c r="O3" s="40" t="s">
        <v>136</v>
      </c>
    </row>
    <row r="4" spans="1:26">
      <c r="A4" t="s">
        <v>122</v>
      </c>
      <c r="B4" t="s">
        <v>122</v>
      </c>
      <c r="C4">
        <v>3.46</v>
      </c>
      <c r="D4">
        <v>1.21</v>
      </c>
      <c r="E4">
        <v>16</v>
      </c>
      <c r="F4" t="s">
        <v>124</v>
      </c>
      <c r="G4" t="s">
        <v>123</v>
      </c>
      <c r="H4" t="s">
        <v>126</v>
      </c>
      <c r="N4" s="40" t="s">
        <v>134</v>
      </c>
      <c r="O4" t="s">
        <v>123</v>
      </c>
      <c r="P4" t="s">
        <v>79</v>
      </c>
      <c r="Q4" t="s">
        <v>121</v>
      </c>
      <c r="R4" t="s">
        <v>135</v>
      </c>
    </row>
    <row r="5" spans="1:26">
      <c r="A5" t="s">
        <v>122</v>
      </c>
      <c r="B5" t="s">
        <v>122</v>
      </c>
      <c r="C5">
        <v>2.58</v>
      </c>
      <c r="D5">
        <v>1.17</v>
      </c>
      <c r="E5">
        <v>10</v>
      </c>
      <c r="F5" t="s">
        <v>125</v>
      </c>
      <c r="G5" t="s">
        <v>123</v>
      </c>
      <c r="H5" t="s">
        <v>126</v>
      </c>
      <c r="N5" s="41" t="s">
        <v>128</v>
      </c>
      <c r="O5" s="32">
        <v>3.41</v>
      </c>
      <c r="P5" s="32"/>
      <c r="Q5" s="32">
        <v>1.625</v>
      </c>
      <c r="R5" s="32">
        <v>1.982</v>
      </c>
    </row>
    <row r="6" spans="1:26">
      <c r="A6" t="s">
        <v>122</v>
      </c>
      <c r="B6" t="s">
        <v>122</v>
      </c>
      <c r="C6">
        <v>3.43</v>
      </c>
      <c r="D6">
        <v>1.1399999999999999</v>
      </c>
      <c r="E6">
        <v>4</v>
      </c>
      <c r="G6" t="s">
        <v>121</v>
      </c>
      <c r="H6" t="s">
        <v>127</v>
      </c>
      <c r="N6" s="41" t="s">
        <v>133</v>
      </c>
      <c r="O6" s="32"/>
      <c r="P6" s="32">
        <v>1.7</v>
      </c>
      <c r="Q6" s="32">
        <v>4.0359999999999996</v>
      </c>
      <c r="R6" s="32">
        <v>3.3685714285714283</v>
      </c>
    </row>
    <row r="7" spans="1:26">
      <c r="A7" t="s">
        <v>133</v>
      </c>
      <c r="B7" t="s">
        <v>72</v>
      </c>
      <c r="C7">
        <v>5.42</v>
      </c>
      <c r="D7" t="s">
        <v>73</v>
      </c>
      <c r="E7">
        <v>1</v>
      </c>
      <c r="F7" t="s">
        <v>74</v>
      </c>
      <c r="G7" t="s">
        <v>75</v>
      </c>
      <c r="H7" t="s">
        <v>76</v>
      </c>
      <c r="N7" s="41" t="s">
        <v>122</v>
      </c>
      <c r="O7" s="32">
        <v>3.02</v>
      </c>
      <c r="P7" s="32"/>
      <c r="Q7" s="32">
        <v>3.9766666666666666</v>
      </c>
      <c r="R7" s="32">
        <v>3.5939999999999999</v>
      </c>
      <c r="V7" s="40" t="s">
        <v>138</v>
      </c>
      <c r="W7" s="40" t="s">
        <v>136</v>
      </c>
    </row>
    <row r="8" spans="1:26">
      <c r="A8" t="s">
        <v>133</v>
      </c>
      <c r="B8" t="s">
        <v>72</v>
      </c>
      <c r="C8">
        <v>5.5</v>
      </c>
      <c r="D8">
        <v>0.5</v>
      </c>
      <c r="E8">
        <v>1</v>
      </c>
      <c r="F8" t="s">
        <v>77</v>
      </c>
      <c r="G8" t="s">
        <v>75</v>
      </c>
      <c r="H8" t="s">
        <v>76</v>
      </c>
      <c r="N8" s="41" t="s">
        <v>135</v>
      </c>
      <c r="O8" s="43">
        <v>3.15</v>
      </c>
      <c r="P8" s="43">
        <v>1.7</v>
      </c>
      <c r="Q8" s="43">
        <v>3.2175000000000007</v>
      </c>
      <c r="R8" s="43">
        <v>3.0270588235294116</v>
      </c>
      <c r="V8" s="40" t="s">
        <v>134</v>
      </c>
      <c r="W8" t="s">
        <v>123</v>
      </c>
      <c r="X8" t="s">
        <v>79</v>
      </c>
      <c r="Y8" t="s">
        <v>121</v>
      </c>
      <c r="Z8" t="s">
        <v>135</v>
      </c>
    </row>
    <row r="9" spans="1:26">
      <c r="A9" t="s">
        <v>133</v>
      </c>
      <c r="B9" t="s">
        <v>72</v>
      </c>
      <c r="C9">
        <v>2</v>
      </c>
      <c r="D9" t="s">
        <v>78</v>
      </c>
      <c r="E9">
        <v>56</v>
      </c>
      <c r="G9" t="s">
        <v>79</v>
      </c>
      <c r="H9" t="s">
        <v>80</v>
      </c>
      <c r="V9" s="41" t="s">
        <v>128</v>
      </c>
      <c r="W9" s="43">
        <v>1</v>
      </c>
      <c r="X9" s="43"/>
      <c r="Y9" s="43">
        <v>4</v>
      </c>
      <c r="Z9" s="43">
        <v>5</v>
      </c>
    </row>
    <row r="10" spans="1:26">
      <c r="A10" t="s">
        <v>133</v>
      </c>
      <c r="B10" t="s">
        <v>72</v>
      </c>
      <c r="C10">
        <v>1.26</v>
      </c>
      <c r="D10">
        <v>0.17</v>
      </c>
      <c r="E10">
        <v>2</v>
      </c>
      <c r="G10" t="s">
        <v>75</v>
      </c>
      <c r="H10" t="s">
        <v>81</v>
      </c>
      <c r="V10" s="41" t="s">
        <v>133</v>
      </c>
      <c r="W10" s="43"/>
      <c r="X10" s="43">
        <v>2</v>
      </c>
      <c r="Y10" s="43">
        <v>5</v>
      </c>
      <c r="Z10" s="43">
        <v>7</v>
      </c>
    </row>
    <row r="11" spans="1:26">
      <c r="A11" t="s">
        <v>133</v>
      </c>
      <c r="B11" t="s">
        <v>82</v>
      </c>
      <c r="C11">
        <v>5</v>
      </c>
      <c r="D11" t="s">
        <v>78</v>
      </c>
      <c r="E11">
        <v>3</v>
      </c>
      <c r="G11" t="s">
        <v>75</v>
      </c>
      <c r="H11" t="s">
        <v>83</v>
      </c>
      <c r="V11" s="41" t="s">
        <v>122</v>
      </c>
      <c r="W11" s="43">
        <v>2</v>
      </c>
      <c r="X11" s="43"/>
      <c r="Y11" s="43">
        <v>3</v>
      </c>
      <c r="Z11" s="43">
        <v>5</v>
      </c>
    </row>
    <row r="12" spans="1:26">
      <c r="A12" t="s">
        <v>133</v>
      </c>
      <c r="B12" t="s">
        <v>84</v>
      </c>
      <c r="C12">
        <v>1.4</v>
      </c>
      <c r="D12" t="s">
        <v>78</v>
      </c>
      <c r="E12">
        <v>6</v>
      </c>
      <c r="G12" t="s">
        <v>79</v>
      </c>
      <c r="H12" t="s">
        <v>85</v>
      </c>
      <c r="O12" s="42" t="s">
        <v>123</v>
      </c>
      <c r="P12" s="42" t="s">
        <v>79</v>
      </c>
      <c r="Q12" s="42" t="s">
        <v>121</v>
      </c>
      <c r="V12" s="41" t="s">
        <v>135</v>
      </c>
      <c r="W12" s="43">
        <v>3</v>
      </c>
      <c r="X12" s="43">
        <v>2</v>
      </c>
      <c r="Y12" s="43">
        <v>12</v>
      </c>
      <c r="Z12" s="43">
        <v>17</v>
      </c>
    </row>
    <row r="13" spans="1:26">
      <c r="A13" t="s">
        <v>133</v>
      </c>
      <c r="B13" t="s">
        <v>84</v>
      </c>
      <c r="C13">
        <v>3</v>
      </c>
      <c r="D13" t="s">
        <v>78</v>
      </c>
      <c r="E13">
        <v>3</v>
      </c>
      <c r="G13" t="s">
        <v>75</v>
      </c>
      <c r="H13" t="s">
        <v>86</v>
      </c>
      <c r="N13" s="41" t="s">
        <v>128</v>
      </c>
      <c r="O13" s="32">
        <f>SUMPRODUCT(טבלה5[Turnover (Days)],טבלה5[N],1*(טבלה5[Segment]=$N13),1*(טבלה5[Method]=O$12))/SUMPRODUCT(טבלה5[N],1*(טבלה5[Segment]=$N13),1*(טבלה5[Method]=O$12))</f>
        <v>3.41</v>
      </c>
      <c r="P13" s="32"/>
      <c r="Q13" s="32">
        <f>SUMPRODUCT(טבלה5[Turnover (Days)],טבלה5[N],1*(טבלה5[Segment]=$N13),1*(טבלה5[Method]=Q$12))/SUMPRODUCT(טבלה5[N],1*(טבלה5[Segment]=$N13),1*(טבלה5[Method]=Q$12))</f>
        <v>2.1742857142857144</v>
      </c>
      <c r="S13" s="32">
        <f>AVERAGE(O13,Q13)</f>
        <v>2.7921428571428573</v>
      </c>
      <c r="T13" s="44">
        <f>STDEV(O13,Q13)/SQRT(2)</f>
        <v>0.61785714285714366</v>
      </c>
    </row>
    <row r="14" spans="1:26">
      <c r="A14" t="s">
        <v>128</v>
      </c>
      <c r="B14" t="s">
        <v>128</v>
      </c>
      <c r="C14">
        <v>1</v>
      </c>
      <c r="D14" t="s">
        <v>78</v>
      </c>
      <c r="E14">
        <v>2</v>
      </c>
      <c r="G14" s="33" t="s">
        <v>75</v>
      </c>
      <c r="H14" t="s">
        <v>129</v>
      </c>
      <c r="N14" s="41" t="s">
        <v>133</v>
      </c>
      <c r="O14" s="32"/>
      <c r="P14" s="32">
        <f>SUMPRODUCT(טבלה5[Turnover (Days)],טבלה5[N],1*(טבלה5[Segment]=$N14),1*(טבלה5[Method]=P$12))/SUMPRODUCT(טבלה5[N],1*(טבלה5[Segment]=$N14),1*(טבלה5[Method]=P$12))</f>
        <v>1.9419354838709679</v>
      </c>
      <c r="Q14" s="32">
        <f>SUMPRODUCT(טבלה5[Turnover (Days)],טבלה5[N],1*(טבלה5[Segment]=$N14),1*(טבלה5[Method]=Q$12))/SUMPRODUCT(טבלה5[N],1*(טבלה5[Segment]=$N14),1*(טבלה5[Method]=Q$12))</f>
        <v>3.7439999999999998</v>
      </c>
      <c r="S14" s="32">
        <f>AVERAGE(P14,Q14)</f>
        <v>2.842967741935484</v>
      </c>
      <c r="T14" s="44">
        <f>STDEV(P14,Q14)/SQRT(2)</f>
        <v>0.90103225806451548</v>
      </c>
    </row>
    <row r="15" spans="1:26">
      <c r="A15" t="s">
        <v>128</v>
      </c>
      <c r="B15" t="s">
        <v>128</v>
      </c>
      <c r="C15">
        <v>0.83</v>
      </c>
      <c r="D15" t="s">
        <v>78</v>
      </c>
      <c r="E15">
        <v>3</v>
      </c>
      <c r="G15" s="33" t="s">
        <v>75</v>
      </c>
      <c r="H15" t="s">
        <v>86</v>
      </c>
      <c r="N15" s="41" t="s">
        <v>122</v>
      </c>
      <c r="O15" s="32">
        <f>SUMPRODUCT(טבלה5[Turnover (Days)],טבלה5[N],1*(טבלה5[Segment]=$N15),1*(טבלה5[Method]=O$12))/SUMPRODUCT(טבלה5[N],1*(טבלה5[Segment]=$N15),1*(טבלה5[Method]=O$12))</f>
        <v>3.1215384615384614</v>
      </c>
      <c r="P15" s="32"/>
      <c r="Q15" s="32">
        <f>SUMPRODUCT(טבלה5[Turnover (Days)],טבלה5[N],1*(טבלה5[Segment]=$N15),1*(טבלה5[Method]=Q$12))/SUMPRODUCT(טבלה5[N],1*(טבלה5[Segment]=$N15),1*(טבלה5[Method]=Q$12))</f>
        <v>3.8022222222222219</v>
      </c>
      <c r="S15" s="32">
        <f>AVERAGE(O15,Q15)</f>
        <v>3.4618803418803417</v>
      </c>
      <c r="T15" s="44">
        <f>STDEV(O15,Q15)/SQRT(2)</f>
        <v>0.34034188034188029</v>
      </c>
      <c r="V15">
        <f>AVERAGEIF(טבלה5[Segment],"Colon",טבלה5[Turnover (Days)])</f>
        <v>1.982</v>
      </c>
    </row>
    <row r="16" spans="1:26">
      <c r="A16" t="s">
        <v>128</v>
      </c>
      <c r="B16" t="s">
        <v>128</v>
      </c>
      <c r="C16">
        <v>3.41</v>
      </c>
      <c r="D16" t="s">
        <v>78</v>
      </c>
      <c r="E16">
        <v>66</v>
      </c>
      <c r="G16" t="s">
        <v>123</v>
      </c>
      <c r="H16" t="s">
        <v>130</v>
      </c>
    </row>
    <row r="17" spans="1:24">
      <c r="A17" t="s">
        <v>128</v>
      </c>
      <c r="B17" t="s">
        <v>128</v>
      </c>
      <c r="C17">
        <v>1.63</v>
      </c>
      <c r="D17" t="s">
        <v>78</v>
      </c>
      <c r="E17">
        <v>1</v>
      </c>
      <c r="G17" s="33" t="s">
        <v>75</v>
      </c>
      <c r="H17" t="s">
        <v>131</v>
      </c>
      <c r="X17">
        <f>STDEV(C14:C18)</f>
        <v>1.1804533027612742</v>
      </c>
    </row>
    <row r="18" spans="1:24">
      <c r="A18" t="s">
        <v>128</v>
      </c>
      <c r="B18" t="s">
        <v>128</v>
      </c>
      <c r="C18">
        <v>3.04</v>
      </c>
      <c r="D18">
        <v>0.25</v>
      </c>
      <c r="E18">
        <v>8</v>
      </c>
      <c r="G18" s="33" t="s">
        <v>75</v>
      </c>
      <c r="H18" t="s">
        <v>132</v>
      </c>
      <c r="X18">
        <f>X17/SQRT(5)</f>
        <v>0.52791476584766983</v>
      </c>
    </row>
  </sheetData>
  <pageMargins left="0.7" right="0.7" top="0.75" bottom="0.75" header="0.3" footer="0.3"/>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F7" sqref="A1:F7"/>
    </sheetView>
  </sheetViews>
  <sheetFormatPr defaultRowHeight="15"/>
  <cols>
    <col min="1" max="1" width="17.28515625" bestFit="1" customWidth="1"/>
    <col min="2" max="2" width="12" bestFit="1" customWidth="1"/>
    <col min="5" max="5" width="25.5703125" customWidth="1"/>
    <col min="6" max="6" width="43.28515625" bestFit="1" customWidth="1"/>
  </cols>
  <sheetData>
    <row r="1" spans="1:10">
      <c r="A1" t="s">
        <v>12</v>
      </c>
      <c r="B1" t="s">
        <v>97</v>
      </c>
      <c r="C1" t="s">
        <v>67</v>
      </c>
      <c r="D1" t="s">
        <v>98</v>
      </c>
      <c r="E1" t="s">
        <v>30</v>
      </c>
      <c r="F1" t="s">
        <v>106</v>
      </c>
      <c r="J1" s="34" t="s">
        <v>103</v>
      </c>
    </row>
    <row r="2" spans="1:10">
      <c r="A2" t="s">
        <v>100</v>
      </c>
      <c r="B2">
        <v>6000</v>
      </c>
      <c r="C2">
        <v>2000</v>
      </c>
      <c r="D2" t="s">
        <v>101</v>
      </c>
      <c r="E2" t="s">
        <v>102</v>
      </c>
      <c r="J2" t="s">
        <v>104</v>
      </c>
    </row>
    <row r="3" spans="1:10">
      <c r="A3" t="s">
        <v>107</v>
      </c>
      <c r="B3" s="35">
        <f>190*4.8*PI()</f>
        <v>2865.1325000738912</v>
      </c>
      <c r="C3" s="37">
        <f>SQRT(SUMSQ(5/190,0.4/4.8))</f>
        <v>8.7389731777067006E-2</v>
      </c>
      <c r="D3" t="s">
        <v>108</v>
      </c>
      <c r="E3" t="s">
        <v>105</v>
      </c>
      <c r="F3" t="s">
        <v>109</v>
      </c>
      <c r="J3" s="51" t="s">
        <v>152</v>
      </c>
    </row>
    <row r="4" spans="1:10">
      <c r="A4" t="s">
        <v>114</v>
      </c>
      <c r="B4" s="35">
        <f>ROUND(AVERAGE(crypt_cells[mean crypt cells]),-1)</f>
        <v>3270</v>
      </c>
      <c r="C4" s="35">
        <f>ROUND(STDEV(crypt_cells[mean crypt cells])/SQRT(COUNT(crypt_cells[mean crypt cells])),-1)</f>
        <v>440</v>
      </c>
      <c r="D4" s="31" t="s">
        <v>113</v>
      </c>
      <c r="E4" t="s">
        <v>110</v>
      </c>
      <c r="J4" t="s">
        <v>153</v>
      </c>
    </row>
    <row r="5" spans="1:10">
      <c r="A5" t="s">
        <v>116</v>
      </c>
      <c r="B5" s="36">
        <v>250000000</v>
      </c>
      <c r="C5">
        <v>0</v>
      </c>
      <c r="D5" t="s">
        <v>117</v>
      </c>
      <c r="E5" t="s">
        <v>115</v>
      </c>
      <c r="J5" t="s">
        <v>156</v>
      </c>
    </row>
    <row r="6" spans="1:10">
      <c r="A6" t="s">
        <v>118</v>
      </c>
      <c r="B6" s="32">
        <v>0.3</v>
      </c>
      <c r="C6">
        <v>0</v>
      </c>
      <c r="D6" t="s">
        <v>99</v>
      </c>
      <c r="E6" t="s">
        <v>115</v>
      </c>
    </row>
    <row r="7" spans="1:10">
      <c r="A7" t="s">
        <v>119</v>
      </c>
      <c r="B7">
        <v>70</v>
      </c>
      <c r="C7">
        <v>0</v>
      </c>
      <c r="D7" t="s">
        <v>99</v>
      </c>
      <c r="E7" t="s">
        <v>115</v>
      </c>
    </row>
    <row r="8" spans="1:10">
      <c r="B8" s="38"/>
    </row>
    <row r="10" spans="1:10">
      <c r="B10" s="36"/>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5"/>
  <cols>
    <col min="1" max="1" width="9.5703125" customWidth="1"/>
    <col min="2" max="2" width="17.42578125" customWidth="1"/>
  </cols>
  <sheetData>
    <row r="1" spans="1:2">
      <c r="A1" t="s">
        <v>112</v>
      </c>
      <c r="B1" t="s">
        <v>111</v>
      </c>
    </row>
    <row r="2" spans="1:2">
      <c r="A2">
        <v>1</v>
      </c>
      <c r="B2">
        <v>4840.2555910543097</v>
      </c>
    </row>
    <row r="3" spans="1:2">
      <c r="A3">
        <v>2</v>
      </c>
      <c r="B3">
        <v>3466.4536741214001</v>
      </c>
    </row>
    <row r="4" spans="1:2">
      <c r="A4">
        <v>3</v>
      </c>
      <c r="B4">
        <v>3514.3769968051101</v>
      </c>
    </row>
    <row r="5" spans="1:2">
      <c r="A5">
        <v>4</v>
      </c>
      <c r="B5">
        <v>3290.7348242811399</v>
      </c>
    </row>
    <row r="6" spans="1:2">
      <c r="A6">
        <v>5</v>
      </c>
      <c r="B6">
        <v>2963.2587859424898</v>
      </c>
    </row>
    <row r="7" spans="1:2">
      <c r="A7">
        <v>6</v>
      </c>
      <c r="B7">
        <v>1525.5591054313099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
  <sheetViews>
    <sheetView workbookViewId="0">
      <selection activeCell="G2" sqref="G2"/>
    </sheetView>
  </sheetViews>
  <sheetFormatPr defaultRowHeight="15"/>
  <cols>
    <col min="2" max="2" width="20.140625" customWidth="1"/>
    <col min="3" max="3" width="18.7109375" customWidth="1"/>
    <col min="4" max="4" width="19.28515625" customWidth="1"/>
    <col min="5" max="5" width="18.28515625" customWidth="1"/>
    <col min="6" max="6" width="13.140625" bestFit="1" customWidth="1"/>
    <col min="7" max="7" width="14.140625" bestFit="1" customWidth="1"/>
    <col min="12" max="12" width="12" bestFit="1" customWidth="1"/>
  </cols>
  <sheetData>
    <row r="1" spans="1:17" ht="33.75" customHeight="1">
      <c r="A1" s="48" t="s">
        <v>144</v>
      </c>
      <c r="B1" s="48" t="s">
        <v>146</v>
      </c>
      <c r="C1" s="48" t="s">
        <v>147</v>
      </c>
      <c r="D1" s="48" t="s">
        <v>148</v>
      </c>
      <c r="E1" s="48" t="s">
        <v>149</v>
      </c>
      <c r="F1" s="48" t="s">
        <v>150</v>
      </c>
      <c r="G1" s="48" t="s">
        <v>151</v>
      </c>
    </row>
    <row r="2" spans="1:17">
      <c r="A2" t="s">
        <v>139</v>
      </c>
      <c r="B2" s="37">
        <v>0.13</v>
      </c>
      <c r="C2" s="45">
        <v>8.1395348837200038E-3</v>
      </c>
      <c r="D2" s="35">
        <v>100.77399380804898</v>
      </c>
      <c r="E2" s="35">
        <v>8.8235294117650085</v>
      </c>
      <c r="F2" s="35">
        <f>Table2[[#This Row],[mean mucus volume per cell (fl)]]/Table2[[#This Row],[mean mucus volume density (%)]]</f>
        <v>775.18456775422294</v>
      </c>
      <c r="G2" s="35">
        <f>SQRT(SUMSQ(Table2[[#This Row],[SEM mucus volume per cell (fl)]]/Table2[[#This Row],[mean mucus volume density (%)]],Table2[[#This Row],[mean mucus volume per cell (fl)]]*Table2[[#This Row],[SEM mucus volume density (%) ]]/(Table2[[#This Row],[mean mucus volume density (%)]]^2)))</f>
        <v>83.441596805947896</v>
      </c>
      <c r="I2" s="37"/>
      <c r="J2" s="37"/>
      <c r="K2" s="37"/>
      <c r="M2" s="37"/>
    </row>
    <row r="3" spans="1:17">
      <c r="A3" t="s">
        <v>140</v>
      </c>
      <c r="B3" s="37">
        <v>0.20558139534883701</v>
      </c>
      <c r="C3" s="45">
        <v>6.7441860465109827E-3</v>
      </c>
      <c r="D3" s="35">
        <v>154.17956656346701</v>
      </c>
      <c r="E3" s="35">
        <v>26.934984520123994</v>
      </c>
      <c r="F3" s="35">
        <f>Table2[[#This Row],[mean mucus volume per cell (fl)]]/Table2[[#This Row],[mean mucus volume density (%)]]</f>
        <v>749.96847989016828</v>
      </c>
      <c r="G3" s="35">
        <f>SQRT(SUMSQ(Table2[[#This Row],[SEM mucus volume per cell (fl)]]/Table2[[#This Row],[mean mucus volume density (%)]],Table2[[#This Row],[mean mucus volume per cell (fl)]]*Table2[[#This Row],[SEM mucus volume density (%) ]]/(Table2[[#This Row],[mean mucus volume density (%)]]^2)))</f>
        <v>133.30859081806889</v>
      </c>
      <c r="I3" s="37"/>
      <c r="J3" s="37"/>
      <c r="K3" s="37"/>
    </row>
    <row r="4" spans="1:17">
      <c r="A4" t="s">
        <v>141</v>
      </c>
      <c r="B4" s="37">
        <v>0.184883720930232</v>
      </c>
      <c r="C4" s="45">
        <v>1.1162790697674972E-2</v>
      </c>
      <c r="D4" s="35">
        <v>191.79566563467401</v>
      </c>
      <c r="E4" s="35">
        <v>26.934984520123994</v>
      </c>
      <c r="F4" s="35">
        <f>Table2[[#This Row],[mean mucus volume per cell (fl)]]/Table2[[#This Row],[mean mucus volume density (%)]]</f>
        <v>1037.3853612944663</v>
      </c>
      <c r="G4" s="35">
        <f>SQRT(SUMSQ(Table2[[#This Row],[SEM mucus volume per cell (fl)]]/Table2[[#This Row],[mean mucus volume density (%)]],Table2[[#This Row],[mean mucus volume per cell (fl)]]*Table2[[#This Row],[SEM mucus volume density (%) ]]/(Table2[[#This Row],[mean mucus volume density (%)]]^2)))</f>
        <v>158.57971320825655</v>
      </c>
      <c r="I4" s="37"/>
      <c r="J4" s="37"/>
      <c r="K4" s="37"/>
    </row>
    <row r="5" spans="1:17">
      <c r="A5" t="s">
        <v>142</v>
      </c>
      <c r="B5" s="37">
        <v>0.17139534883720897</v>
      </c>
      <c r="C5" s="45">
        <v>1.139534883720902E-2</v>
      </c>
      <c r="D5" s="35">
        <v>143.49845201238301</v>
      </c>
      <c r="E5" s="35">
        <v>13.931888544892001</v>
      </c>
      <c r="F5" s="35">
        <f>Table2[[#This Row],[mean mucus volume per cell (fl)]]/Table2[[#This Row],[mean mucus volume density (%)]]</f>
        <v>837.2365585525755</v>
      </c>
      <c r="G5" s="35">
        <f>SQRT(SUMSQ(Table2[[#This Row],[SEM mucus volume per cell (fl)]]/Table2[[#This Row],[mean mucus volume density (%)]],Table2[[#This Row],[mean mucus volume per cell (fl)]]*Table2[[#This Row],[SEM mucus volume density (%) ]]/(Table2[[#This Row],[mean mucus volume density (%)]]^2)))</f>
        <v>98.517930195060814</v>
      </c>
      <c r="I5" s="37"/>
      <c r="J5" s="37"/>
      <c r="K5" s="37"/>
    </row>
    <row r="6" spans="1:17">
      <c r="A6" t="s">
        <v>143</v>
      </c>
      <c r="B6" s="37">
        <v>0.175813953488372</v>
      </c>
      <c r="C6" s="45">
        <v>7.9069767441859902E-3</v>
      </c>
      <c r="D6" s="35">
        <v>127.24458204334299</v>
      </c>
      <c r="E6" s="35">
        <v>2.7863777089790043</v>
      </c>
      <c r="F6" s="35">
        <f>Table2[[#This Row],[mean mucus volume per cell (fl)]]/Table2[[#This Row],[mean mucus volume density (%)]]</f>
        <v>723.74563860631633</v>
      </c>
      <c r="G6" s="35">
        <f>SQRT(SUMSQ(Table2[[#This Row],[SEM mucus volume per cell (fl)]]/Table2[[#This Row],[mean mucus volume density (%)]],Table2[[#This Row],[mean mucus volume per cell (fl)]]*Table2[[#This Row],[SEM mucus volume density (%) ]]/(Table2[[#This Row],[mean mucus volume density (%)]]^2)))</f>
        <v>36.202722209333643</v>
      </c>
      <c r="I6" s="37"/>
      <c r="J6" s="37"/>
      <c r="K6" s="37"/>
      <c r="Q6" s="38"/>
    </row>
    <row r="7" spans="1:17">
      <c r="I7" s="47"/>
      <c r="J7" s="35"/>
      <c r="Q7" s="38"/>
    </row>
    <row r="8" spans="1:17">
      <c r="I8" s="47"/>
      <c r="J8" s="35"/>
    </row>
    <row r="9" spans="1:17">
      <c r="I9" s="47"/>
      <c r="J9" s="35"/>
    </row>
    <row r="10" spans="1:17">
      <c r="I10" s="47"/>
      <c r="J10" s="35"/>
    </row>
    <row r="11" spans="1:17">
      <c r="A11" s="50"/>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tabSelected="1" workbookViewId="0">
      <selection activeCell="J15" sqref="J15"/>
    </sheetView>
  </sheetViews>
  <sheetFormatPr defaultRowHeight="15"/>
  <cols>
    <col min="1" max="1" width="43.28515625" bestFit="1" customWidth="1"/>
    <col min="5" max="5" width="18" bestFit="1" customWidth="1"/>
    <col min="6" max="6" width="26.85546875" bestFit="1" customWidth="1"/>
  </cols>
  <sheetData>
    <row r="1" spans="1:14">
      <c r="A1" t="s">
        <v>12</v>
      </c>
      <c r="B1" t="s">
        <v>97</v>
      </c>
      <c r="C1" s="54" t="s">
        <v>67</v>
      </c>
      <c r="D1" s="54" t="s">
        <v>98</v>
      </c>
      <c r="E1" t="s">
        <v>30</v>
      </c>
      <c r="F1" t="s">
        <v>106</v>
      </c>
      <c r="N1" s="34" t="s">
        <v>30</v>
      </c>
    </row>
    <row r="2" spans="1:14">
      <c r="A2" t="s">
        <v>168</v>
      </c>
      <c r="B2" s="50">
        <v>0.17</v>
      </c>
      <c r="C2" s="55">
        <f t="shared" ref="C2:C3" si="0">(20%-12%)/4</f>
        <v>2.0000000000000004E-2</v>
      </c>
      <c r="D2" s="54" t="s">
        <v>158</v>
      </c>
      <c r="E2" t="s">
        <v>157</v>
      </c>
      <c r="N2" s="51" t="s">
        <v>154</v>
      </c>
    </row>
    <row r="3" spans="1:14">
      <c r="A3" t="s">
        <v>169</v>
      </c>
      <c r="B3" s="37">
        <v>0.06</v>
      </c>
      <c r="C3" s="55">
        <f>(9%-4%)/4</f>
        <v>1.2499999999999999E-2</v>
      </c>
      <c r="D3" s="54" t="s">
        <v>158</v>
      </c>
      <c r="E3" t="s">
        <v>157</v>
      </c>
      <c r="N3" s="51" t="s">
        <v>155</v>
      </c>
    </row>
    <row r="4" spans="1:14">
      <c r="A4" t="s">
        <v>160</v>
      </c>
      <c r="B4" s="50">
        <v>0.8</v>
      </c>
      <c r="C4" s="55">
        <f>(26%-16%)/4</f>
        <v>2.5000000000000001E-2</v>
      </c>
      <c r="D4" s="54" t="s">
        <v>158</v>
      </c>
      <c r="E4" t="s">
        <v>157</v>
      </c>
      <c r="J4" s="35"/>
      <c r="K4" s="35"/>
      <c r="N4" t="s">
        <v>161</v>
      </c>
    </row>
    <row r="5" spans="1:14">
      <c r="A5" t="s">
        <v>170</v>
      </c>
      <c r="B5" s="50">
        <v>0.83</v>
      </c>
      <c r="C5" s="55">
        <v>0.02</v>
      </c>
      <c r="D5" s="54" t="s">
        <v>158</v>
      </c>
      <c r="E5" t="s">
        <v>157</v>
      </c>
      <c r="J5" s="35"/>
      <c r="K5" s="35"/>
    </row>
    <row r="6" spans="1:14">
      <c r="A6" t="s">
        <v>171</v>
      </c>
      <c r="B6" s="37">
        <v>0.38</v>
      </c>
      <c r="C6" s="46">
        <v>0.02</v>
      </c>
      <c r="D6" t="s">
        <v>158</v>
      </c>
      <c r="E6" t="s">
        <v>157</v>
      </c>
    </row>
    <row r="7" spans="1:14">
      <c r="A7" t="s">
        <v>165</v>
      </c>
      <c r="B7" s="43">
        <v>150</v>
      </c>
      <c r="C7" s="49">
        <f>46/SQRT(49)</f>
        <v>6.5714285714285712</v>
      </c>
      <c r="D7" t="s">
        <v>159</v>
      </c>
      <c r="E7" t="s">
        <v>162</v>
      </c>
      <c r="F7" t="s">
        <v>163</v>
      </c>
    </row>
    <row r="8" spans="1:14">
      <c r="A8" t="s">
        <v>172</v>
      </c>
      <c r="B8" s="35">
        <f>stomach_mucusal_cells_volume!$F$2</f>
        <v>775.18456775422294</v>
      </c>
      <c r="C8" s="35">
        <f>stomach_mucusal_cells_volume!G2</f>
        <v>83.441596805947896</v>
      </c>
      <c r="D8" t="s">
        <v>145</v>
      </c>
      <c r="E8" t="s">
        <v>164</v>
      </c>
      <c r="F8" t="s">
        <v>166</v>
      </c>
    </row>
    <row r="9" spans="1:14">
      <c r="A9" t="s">
        <v>173</v>
      </c>
      <c r="B9" s="35">
        <f>AVERAGE(stomach_mucusal_cells_volume!F3:F6)</f>
        <v>837.08400958588163</v>
      </c>
      <c r="C9" s="35">
        <f>SQRT(SUMSQ(AVERAGE(stomach_mucusal_cells_volume!G3:G6),STDEV(stomach_mucusal_cells_volume!$F$3:$F$6)/SQRT(COUNT(stomach_mucusal_cells_volume!$F$3:$F$6))))</f>
        <v>128.14437102285615</v>
      </c>
      <c r="D9" t="s">
        <v>145</v>
      </c>
      <c r="E9" t="s">
        <v>164</v>
      </c>
      <c r="F9" t="s">
        <v>167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small_intestine_SA_data</vt:lpstr>
      <vt:lpstr>villi_and_crypts_data</vt:lpstr>
      <vt:lpstr>potassium_data</vt:lpstr>
      <vt:lpstr>cellular_mass_conversion</vt:lpstr>
      <vt:lpstr>enterocyte_turnover</vt:lpstr>
      <vt:lpstr>colon_properties</vt:lpstr>
      <vt:lpstr>Nooteboom et al., 2010</vt:lpstr>
      <vt:lpstr>stomach_mucusal_cells_volume</vt:lpstr>
      <vt:lpstr>stomach_properties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2019-08-14T11:37:20Z</dcterms:modified>
</cp:coreProperties>
</file>