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los\Desktop\Finance Practice\Komercijalna Banka\"/>
    </mc:Choice>
  </mc:AlternateContent>
  <xr:revisionPtr revIDLastSave="0" documentId="13_ncr:1_{0ABE2022-E09C-412E-8653-0CE2411B83A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" sheetId="1" r:id="rId1"/>
    <sheet name="Inputs" sheetId="9" r:id="rId2"/>
    <sheet name="Assumptions" sheetId="2" state="hidden" r:id="rId3"/>
    <sheet name="WACC" sheetId="10" r:id="rId4"/>
    <sheet name="Биланс на успех (Проекција)" sheetId="3" state="hidden" r:id="rId5"/>
    <sheet name="Биланс на состојба (Проекција)" sheetId="4" r:id="rId6"/>
    <sheet name="DDM_Model" sheetId="6" r:id="rId7"/>
    <sheet name="Sensitivity_Stress" sheetId="7" r:id="rId8"/>
    <sheet name="Credit_Risk_Analysi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4" i="4" l="1"/>
  <c r="F321" i="4"/>
  <c r="G321" i="4" s="1"/>
  <c r="H321" i="4" s="1"/>
  <c r="I321" i="4" s="1"/>
  <c r="E325" i="4"/>
  <c r="D325" i="4"/>
  <c r="E322" i="4"/>
  <c r="D322" i="4"/>
  <c r="B325" i="4"/>
  <c r="B322" i="4"/>
  <c r="D375" i="4"/>
  <c r="E375" i="4"/>
  <c r="C376" i="4"/>
  <c r="D376" i="4"/>
  <c r="E376" i="4"/>
  <c r="B378" i="4"/>
  <c r="B377" i="4"/>
  <c r="C375" i="4"/>
  <c r="B372" i="4"/>
  <c r="B373" i="4" s="1"/>
  <c r="B368" i="4"/>
  <c r="B369" i="4"/>
  <c r="B370" i="4" s="1"/>
  <c r="G268" i="4"/>
  <c r="H268" i="4" s="1"/>
  <c r="I268" i="4" s="1"/>
  <c r="B364" i="4"/>
  <c r="C366" i="4"/>
  <c r="B366" i="4"/>
  <c r="C365" i="4"/>
  <c r="B365" i="4"/>
  <c r="B359" i="4"/>
  <c r="B362" i="4" s="1"/>
  <c r="B354" i="4"/>
  <c r="B355" i="4" s="1"/>
  <c r="B349" i="4"/>
  <c r="B346" i="4"/>
  <c r="B347" i="4" s="1"/>
  <c r="B343" i="4"/>
  <c r="B344" i="4" s="1"/>
  <c r="B427" i="4"/>
  <c r="B424" i="4"/>
  <c r="B421" i="4"/>
  <c r="B418" i="4"/>
  <c r="G324" i="4" l="1"/>
  <c r="D378" i="4"/>
  <c r="E378" i="4"/>
  <c r="C378" i="4"/>
  <c r="D377" i="4"/>
  <c r="E377" i="4"/>
  <c r="B361" i="4"/>
  <c r="B360" i="4"/>
  <c r="B419" i="4"/>
  <c r="B428" i="4"/>
  <c r="B422" i="4"/>
  <c r="B425" i="4"/>
  <c r="B333" i="4"/>
  <c r="B335" i="4" s="1"/>
  <c r="B340" i="4"/>
  <c r="B337" i="4"/>
  <c r="B330" i="4"/>
  <c r="B327" i="4"/>
  <c r="B328" i="4" s="1"/>
  <c r="B324" i="4"/>
  <c r="B321" i="4"/>
  <c r="C69" i="4"/>
  <c r="C108" i="4" s="1"/>
  <c r="D69" i="4"/>
  <c r="D108" i="4" s="1"/>
  <c r="E69" i="4"/>
  <c r="E108" i="4" s="1"/>
  <c r="C70" i="4"/>
  <c r="C111" i="4" s="1"/>
  <c r="D70" i="4"/>
  <c r="D111" i="4" s="1"/>
  <c r="E70" i="4"/>
  <c r="E111" i="4" s="1"/>
  <c r="F111" i="4" s="1"/>
  <c r="C73" i="4"/>
  <c r="D73" i="4"/>
  <c r="E73" i="4"/>
  <c r="C74" i="4"/>
  <c r="D74" i="4"/>
  <c r="E74" i="4"/>
  <c r="B73" i="4"/>
  <c r="B74" i="4"/>
  <c r="B69" i="4"/>
  <c r="B70" i="4"/>
  <c r="B72" i="4"/>
  <c r="B68" i="4"/>
  <c r="B318" i="4"/>
  <c r="B319" i="4" s="1"/>
  <c r="B315" i="4"/>
  <c r="B316" i="4" s="1"/>
  <c r="B222" i="4"/>
  <c r="D222" i="4"/>
  <c r="E222" i="4" s="1"/>
  <c r="F222" i="4" s="1"/>
  <c r="G222" i="4" s="1"/>
  <c r="H222" i="4" s="1"/>
  <c r="I222" i="4" s="1"/>
  <c r="E311" i="4"/>
  <c r="F310" i="4" s="1"/>
  <c r="D311" i="4"/>
  <c r="C311" i="4"/>
  <c r="E310" i="4"/>
  <c r="D310" i="4"/>
  <c r="C310" i="4"/>
  <c r="E309" i="4"/>
  <c r="D309" i="4"/>
  <c r="C309" i="4"/>
  <c r="E308" i="4"/>
  <c r="D308" i="4"/>
  <c r="C308" i="4"/>
  <c r="E307" i="4"/>
  <c r="D307" i="4"/>
  <c r="C307" i="4"/>
  <c r="E306" i="4"/>
  <c r="D306" i="4"/>
  <c r="C306" i="4"/>
  <c r="E305" i="4"/>
  <c r="D305" i="4"/>
  <c r="C305" i="4"/>
  <c r="E304" i="4"/>
  <c r="D304" i="4"/>
  <c r="C304" i="4"/>
  <c r="E303" i="4"/>
  <c r="D303" i="4"/>
  <c r="C303" i="4"/>
  <c r="E302" i="4"/>
  <c r="D302" i="4"/>
  <c r="C302" i="4"/>
  <c r="E301" i="4"/>
  <c r="D301" i="4"/>
  <c r="C301" i="4"/>
  <c r="E300" i="4"/>
  <c r="D300" i="4"/>
  <c r="C300" i="4"/>
  <c r="E299" i="4"/>
  <c r="D299" i="4"/>
  <c r="C299" i="4"/>
  <c r="E298" i="4"/>
  <c r="D298" i="4"/>
  <c r="C298" i="4"/>
  <c r="E297" i="4"/>
  <c r="D297" i="4"/>
  <c r="C297" i="4"/>
  <c r="E296" i="4"/>
  <c r="D296" i="4"/>
  <c r="C296" i="4"/>
  <c r="E295" i="4"/>
  <c r="D295" i="4"/>
  <c r="C295" i="4"/>
  <c r="E294" i="4"/>
  <c r="D294" i="4"/>
  <c r="C294" i="4"/>
  <c r="E292" i="4"/>
  <c r="D292" i="4"/>
  <c r="C292" i="4"/>
  <c r="E291" i="4"/>
  <c r="E372" i="4" s="1"/>
  <c r="D291" i="4"/>
  <c r="C291" i="4"/>
  <c r="E290" i="4"/>
  <c r="D290" i="4"/>
  <c r="C290" i="4"/>
  <c r="E289" i="4"/>
  <c r="D289" i="4"/>
  <c r="C289" i="4"/>
  <c r="E288" i="4"/>
  <c r="D288" i="4"/>
  <c r="C288" i="4"/>
  <c r="E287" i="4"/>
  <c r="D287" i="4"/>
  <c r="C287" i="4"/>
  <c r="E286" i="4"/>
  <c r="D286" i="4"/>
  <c r="C286" i="4"/>
  <c r="E285" i="4"/>
  <c r="D285" i="4"/>
  <c r="C285" i="4"/>
  <c r="E284" i="4"/>
  <c r="D284" i="4"/>
  <c r="C284" i="4"/>
  <c r="E283" i="4"/>
  <c r="D283" i="4"/>
  <c r="C283" i="4"/>
  <c r="E282" i="4"/>
  <c r="D282" i="4"/>
  <c r="C282" i="4"/>
  <c r="E281" i="4"/>
  <c r="E369" i="4" s="1"/>
  <c r="D281" i="4"/>
  <c r="D369" i="4" s="1"/>
  <c r="C281" i="4"/>
  <c r="C369" i="4" s="1"/>
  <c r="E280" i="4"/>
  <c r="E368" i="4" s="1"/>
  <c r="D280" i="4"/>
  <c r="D368" i="4" s="1"/>
  <c r="C280" i="4"/>
  <c r="C368" i="4" s="1"/>
  <c r="E278" i="4"/>
  <c r="D278" i="4"/>
  <c r="C278" i="4"/>
  <c r="E277" i="4"/>
  <c r="D277" i="4"/>
  <c r="C277" i="4"/>
  <c r="E276" i="4"/>
  <c r="D276" i="4"/>
  <c r="C276" i="4"/>
  <c r="E275" i="4"/>
  <c r="D275" i="4"/>
  <c r="C275" i="4"/>
  <c r="E274" i="4"/>
  <c r="D274" i="4"/>
  <c r="C274" i="4"/>
  <c r="E273" i="4"/>
  <c r="D273" i="4"/>
  <c r="C273" i="4"/>
  <c r="E272" i="4"/>
  <c r="D272" i="4"/>
  <c r="C272" i="4"/>
  <c r="E271" i="4"/>
  <c r="E427" i="4" s="1"/>
  <c r="D271" i="4"/>
  <c r="D427" i="4" s="1"/>
  <c r="C271" i="4"/>
  <c r="C427" i="4" s="1"/>
  <c r="E270" i="4"/>
  <c r="D270" i="4"/>
  <c r="C270" i="4"/>
  <c r="E268" i="4"/>
  <c r="E424" i="4" s="1"/>
  <c r="D268" i="4"/>
  <c r="D424" i="4" s="1"/>
  <c r="C268" i="4"/>
  <c r="C424" i="4" s="1"/>
  <c r="E267" i="4"/>
  <c r="D267" i="4"/>
  <c r="C267" i="4"/>
  <c r="E266" i="4"/>
  <c r="D266" i="4"/>
  <c r="C266" i="4"/>
  <c r="E265" i="4"/>
  <c r="D265" i="4"/>
  <c r="D421" i="4" s="1"/>
  <c r="C265" i="4"/>
  <c r="C421" i="4" s="1"/>
  <c r="E264" i="4"/>
  <c r="D264" i="4"/>
  <c r="D364" i="4" s="1"/>
  <c r="C264" i="4"/>
  <c r="C364" i="4" s="1"/>
  <c r="E263" i="4"/>
  <c r="E360" i="4" s="1"/>
  <c r="D263" i="4"/>
  <c r="D360" i="4" s="1"/>
  <c r="C263" i="4"/>
  <c r="C360" i="4" s="1"/>
  <c r="E262" i="4"/>
  <c r="E418" i="4" s="1"/>
  <c r="D262" i="4"/>
  <c r="D418" i="4" s="1"/>
  <c r="C262" i="4"/>
  <c r="C418" i="4" s="1"/>
  <c r="E261" i="4"/>
  <c r="E355" i="4" s="1"/>
  <c r="D261" i="4"/>
  <c r="D355" i="4" s="1"/>
  <c r="C261" i="4"/>
  <c r="C355" i="4" s="1"/>
  <c r="E260" i="4"/>
  <c r="E350" i="4" s="1"/>
  <c r="D260" i="4"/>
  <c r="D350" i="4" s="1"/>
  <c r="C260" i="4"/>
  <c r="C350" i="4" s="1"/>
  <c r="E259" i="4"/>
  <c r="D259" i="4"/>
  <c r="C259" i="4"/>
  <c r="E258" i="4"/>
  <c r="D258" i="4"/>
  <c r="C258" i="4"/>
  <c r="E256" i="4"/>
  <c r="D256" i="4"/>
  <c r="C256" i="4"/>
  <c r="E255" i="4"/>
  <c r="E346" i="4" s="1"/>
  <c r="E347" i="4" s="1"/>
  <c r="D255" i="4"/>
  <c r="D346" i="4" s="1"/>
  <c r="D347" i="4" s="1"/>
  <c r="C255" i="4"/>
  <c r="C346" i="4" s="1"/>
  <c r="C347" i="4" s="1"/>
  <c r="E254" i="4"/>
  <c r="E343" i="4" s="1"/>
  <c r="E344" i="4" s="1"/>
  <c r="D254" i="4"/>
  <c r="D343" i="4" s="1"/>
  <c r="D344" i="4" s="1"/>
  <c r="C254" i="4"/>
  <c r="C343" i="4" s="1"/>
  <c r="C344" i="4" s="1"/>
  <c r="E253" i="4"/>
  <c r="E340" i="4" s="1"/>
  <c r="D253" i="4"/>
  <c r="D340" i="4" s="1"/>
  <c r="C253" i="4"/>
  <c r="E251" i="4"/>
  <c r="D251" i="4"/>
  <c r="C251" i="4"/>
  <c r="E250" i="4"/>
  <c r="E337" i="4" s="1"/>
  <c r="D250" i="4"/>
  <c r="D337" i="4" s="1"/>
  <c r="C250" i="4"/>
  <c r="C337" i="4" s="1"/>
  <c r="E249" i="4"/>
  <c r="E333" i="4" s="1"/>
  <c r="D249" i="4"/>
  <c r="D333" i="4" s="1"/>
  <c r="C249" i="4"/>
  <c r="C333" i="4" s="1"/>
  <c r="E247" i="4"/>
  <c r="D247" i="4"/>
  <c r="C247" i="4"/>
  <c r="E246" i="4"/>
  <c r="D246" i="4"/>
  <c r="C246" i="4"/>
  <c r="E244" i="4"/>
  <c r="E330" i="4" s="1"/>
  <c r="D244" i="4"/>
  <c r="D330" i="4" s="1"/>
  <c r="C244" i="4"/>
  <c r="C330" i="4" s="1"/>
  <c r="E243" i="4"/>
  <c r="E327" i="4" s="1"/>
  <c r="D243" i="4"/>
  <c r="D327" i="4" s="1"/>
  <c r="C243" i="4"/>
  <c r="C327" i="4" s="1"/>
  <c r="E240" i="4"/>
  <c r="D240" i="4"/>
  <c r="C240" i="4"/>
  <c r="E239" i="4"/>
  <c r="D239" i="4"/>
  <c r="C239" i="4"/>
  <c r="E238" i="4"/>
  <c r="D238" i="4"/>
  <c r="C238" i="4"/>
  <c r="E237" i="4"/>
  <c r="D237" i="4"/>
  <c r="C237" i="4"/>
  <c r="E236" i="4"/>
  <c r="D236" i="4"/>
  <c r="C236" i="4"/>
  <c r="E235" i="4"/>
  <c r="F235" i="4" s="1"/>
  <c r="G235" i="4" s="1"/>
  <c r="H235" i="4" s="1"/>
  <c r="I235" i="4" s="1"/>
  <c r="D235" i="4"/>
  <c r="C235" i="4"/>
  <c r="E233" i="4"/>
  <c r="E324" i="4" s="1"/>
  <c r="D233" i="4"/>
  <c r="D324" i="4" s="1"/>
  <c r="C233" i="4"/>
  <c r="E232" i="4"/>
  <c r="E321" i="4" s="1"/>
  <c r="D232" i="4"/>
  <c r="D321" i="4" s="1"/>
  <c r="C232" i="4"/>
  <c r="C321" i="4" s="1"/>
  <c r="E231" i="4"/>
  <c r="F231" i="4" s="1"/>
  <c r="G231" i="4" s="1"/>
  <c r="H231" i="4" s="1"/>
  <c r="I231" i="4" s="1"/>
  <c r="D231" i="4"/>
  <c r="C231" i="4"/>
  <c r="E229" i="4"/>
  <c r="E318" i="4" s="1"/>
  <c r="D229" i="4"/>
  <c r="D318" i="4" s="1"/>
  <c r="C229" i="4"/>
  <c r="C318" i="4" s="1"/>
  <c r="E228" i="4"/>
  <c r="E315" i="4" s="1"/>
  <c r="D228" i="4"/>
  <c r="D315" i="4" s="1"/>
  <c r="C228" i="4"/>
  <c r="C315" i="4" s="1"/>
  <c r="E226" i="4"/>
  <c r="D226" i="4"/>
  <c r="C226" i="4"/>
  <c r="D224" i="4"/>
  <c r="E224" i="4"/>
  <c r="C224" i="4"/>
  <c r="E13" i="4"/>
  <c r="C33" i="9"/>
  <c r="H16" i="4"/>
  <c r="I16" i="4" s="1"/>
  <c r="F18" i="4"/>
  <c r="G18" i="4"/>
  <c r="H18" i="4"/>
  <c r="I18" i="4"/>
  <c r="E212" i="4"/>
  <c r="D212" i="4"/>
  <c r="D213" i="4" s="1"/>
  <c r="D335" i="4" s="1"/>
  <c r="C212" i="4"/>
  <c r="C213" i="4" s="1"/>
  <c r="C335" i="4" s="1"/>
  <c r="AO55" i="1"/>
  <c r="AL55" i="1"/>
  <c r="AL57" i="1" s="1"/>
  <c r="AI55" i="1"/>
  <c r="AI57" i="1" s="1"/>
  <c r="AU54" i="1"/>
  <c r="AR54" i="1"/>
  <c r="AO54" i="1"/>
  <c r="AL54" i="1"/>
  <c r="AI54" i="1"/>
  <c r="AF54" i="1"/>
  <c r="AC54" i="1"/>
  <c r="Z54" i="1"/>
  <c r="W54" i="1"/>
  <c r="AU50" i="1"/>
  <c r="AR50" i="1"/>
  <c r="AO50" i="1"/>
  <c r="AL50" i="1"/>
  <c r="AI50" i="1"/>
  <c r="AF50" i="1"/>
  <c r="AC50" i="1"/>
  <c r="Z50" i="1"/>
  <c r="W50" i="1"/>
  <c r="AU45" i="1"/>
  <c r="AU55" i="1" s="1"/>
  <c r="AR45" i="1"/>
  <c r="AR55" i="1" s="1"/>
  <c r="AR57" i="1" s="1"/>
  <c r="AO45" i="1"/>
  <c r="AL45" i="1"/>
  <c r="AI45" i="1"/>
  <c r="AF45" i="1"/>
  <c r="AF55" i="1" s="1"/>
  <c r="AF57" i="1" s="1"/>
  <c r="AC45" i="1"/>
  <c r="AC55" i="1" s="1"/>
  <c r="AC57" i="1" s="1"/>
  <c r="Z45" i="1"/>
  <c r="Z55" i="1" s="1"/>
  <c r="Z57" i="1" s="1"/>
  <c r="W45" i="1"/>
  <c r="W55" i="1" s="1"/>
  <c r="W57" i="1" s="1"/>
  <c r="AU34" i="1" a="1"/>
  <c r="AU34" i="1" s="1"/>
  <c r="AU33" i="1" a="1"/>
  <c r="AU33" i="1" s="1"/>
  <c r="AU32" i="1" a="1"/>
  <c r="AU32" i="1" s="1"/>
  <c r="AU31" i="1" a="1"/>
  <c r="AU31" i="1" s="1"/>
  <c r="AU30" i="1" a="1"/>
  <c r="AU30" i="1" s="1"/>
  <c r="AU29" i="1" a="1"/>
  <c r="AU29" i="1" s="1"/>
  <c r="AU28" i="1" a="1"/>
  <c r="AU28" i="1" s="1"/>
  <c r="AU27" i="1" a="1"/>
  <c r="AU27" i="1" s="1"/>
  <c r="AU26" i="1" a="1"/>
  <c r="AU26" i="1" s="1"/>
  <c r="AU25" i="1" a="1"/>
  <c r="AU25" i="1" s="1"/>
  <c r="AU24" i="1" a="1"/>
  <c r="AU24" i="1" s="1"/>
  <c r="AU23" i="1" a="1"/>
  <c r="AU23" i="1" s="1"/>
  <c r="AU22" i="1" a="1"/>
  <c r="AU22" i="1" s="1"/>
  <c r="AU21" i="1" a="1"/>
  <c r="AU21" i="1" s="1"/>
  <c r="AT30" i="1" a="1"/>
  <c r="AT30" i="1" s="1"/>
  <c r="AS30" i="1" a="1"/>
  <c r="AS30" i="1" s="1"/>
  <c r="AT29" i="1" a="1"/>
  <c r="AT29" i="1" s="1"/>
  <c r="AS29" i="1"/>
  <c r="AS29" i="1" a="1"/>
  <c r="AT28" i="1" a="1"/>
  <c r="AT28" i="1" s="1"/>
  <c r="AS28" i="1" a="1"/>
  <c r="AS28" i="1" s="1"/>
  <c r="AT27" i="1" a="1"/>
  <c r="AT27" i="1" s="1"/>
  <c r="AS27" i="1"/>
  <c r="AS27" i="1" a="1"/>
  <c r="AT26" i="1" a="1"/>
  <c r="AT26" i="1" s="1"/>
  <c r="AS26" i="1" a="1"/>
  <c r="AS26" i="1" s="1"/>
  <c r="AT25" i="1" a="1"/>
  <c r="AT25" i="1" s="1"/>
  <c r="AS25" i="1" a="1"/>
  <c r="AS25" i="1" s="1"/>
  <c r="AT24" i="1" a="1"/>
  <c r="AT24" i="1" s="1"/>
  <c r="AS24" i="1" a="1"/>
  <c r="AS24" i="1" s="1"/>
  <c r="AT23" i="1" a="1"/>
  <c r="AT23" i="1" s="1"/>
  <c r="AS23" i="1" a="1"/>
  <c r="AS23" i="1" s="1"/>
  <c r="AT22" i="1" a="1"/>
  <c r="AT22" i="1" s="1"/>
  <c r="AS22" i="1" a="1"/>
  <c r="AS22" i="1" s="1"/>
  <c r="AT21" i="1" a="1"/>
  <c r="AT21" i="1" s="1"/>
  <c r="AS21" i="1" a="1"/>
  <c r="AS21" i="1" s="1"/>
  <c r="AU19" i="1" a="1"/>
  <c r="AU19" i="1" s="1"/>
  <c r="AT19" i="1" a="1"/>
  <c r="AT19" i="1" s="1"/>
  <c r="AS19" i="1" a="1"/>
  <c r="AS19" i="1" s="1"/>
  <c r="AU18" i="1" a="1"/>
  <c r="AU18" i="1" s="1"/>
  <c r="AT18" i="1" a="1"/>
  <c r="AT18" i="1" s="1"/>
  <c r="AS18" i="1"/>
  <c r="AS18" i="1" a="1"/>
  <c r="AU17" i="1" a="1"/>
  <c r="AU17" i="1" s="1"/>
  <c r="AT17" i="1" a="1"/>
  <c r="AT17" i="1" s="1"/>
  <c r="AS17" i="1" a="1"/>
  <c r="AS17" i="1" s="1"/>
  <c r="AU16" i="1" a="1"/>
  <c r="AU16" i="1" s="1"/>
  <c r="AT16" i="1" a="1"/>
  <c r="AT16" i="1" s="1"/>
  <c r="AS16" i="1"/>
  <c r="AS16" i="1" a="1"/>
  <c r="AU15" i="1" a="1"/>
  <c r="AU15" i="1" s="1"/>
  <c r="AT15" i="1" a="1"/>
  <c r="AT15" i="1" s="1"/>
  <c r="AS15" i="1" a="1"/>
  <c r="AS15" i="1" s="1"/>
  <c r="AU14" i="1" a="1"/>
  <c r="AU14" i="1" s="1"/>
  <c r="AT14" i="1" a="1"/>
  <c r="AT14" i="1" s="1"/>
  <c r="AS14" i="1"/>
  <c r="AS14" i="1" a="1"/>
  <c r="AU13" i="1" a="1"/>
  <c r="AU13" i="1" s="1"/>
  <c r="AT13" i="1" a="1"/>
  <c r="AT13" i="1" s="1"/>
  <c r="AS13" i="1" a="1"/>
  <c r="AS13" i="1" s="1"/>
  <c r="AU12" i="1" a="1"/>
  <c r="AU12" i="1" s="1"/>
  <c r="AT12" i="1" a="1"/>
  <c r="AT12" i="1" s="1"/>
  <c r="AS12" i="1" a="1"/>
  <c r="AS12" i="1" s="1"/>
  <c r="AU11" i="1" a="1"/>
  <c r="AU11" i="1" s="1"/>
  <c r="AT11" i="1" a="1"/>
  <c r="AT11" i="1" s="1"/>
  <c r="AS11" i="1" a="1"/>
  <c r="AS11" i="1" s="1"/>
  <c r="AU10" i="1" a="1"/>
  <c r="AU10" i="1" s="1"/>
  <c r="AT10" i="1" a="1"/>
  <c r="AT10" i="1" s="1"/>
  <c r="AS10" i="1" a="1"/>
  <c r="AS10" i="1" s="1"/>
  <c r="AU9" i="1" a="1"/>
  <c r="AU9" i="1" s="1"/>
  <c r="AT9" i="1" a="1"/>
  <c r="AT9" i="1" s="1"/>
  <c r="AS9" i="1" a="1"/>
  <c r="AS9" i="1" s="1"/>
  <c r="AU8" i="1" a="1"/>
  <c r="AU8" i="1" s="1"/>
  <c r="AT8" i="1" a="1"/>
  <c r="AT8" i="1" s="1"/>
  <c r="AS8" i="1" a="1"/>
  <c r="AS8" i="1" s="1"/>
  <c r="AU7" i="1" a="1"/>
  <c r="AU7" i="1" s="1"/>
  <c r="AT7" i="1" a="1"/>
  <c r="AT7" i="1" s="1"/>
  <c r="AS7" i="1" a="1"/>
  <c r="AS7" i="1" s="1"/>
  <c r="AU20" i="1" a="1"/>
  <c r="AU20" i="1" s="1"/>
  <c r="AT20" i="1" a="1"/>
  <c r="AT20" i="1" s="1"/>
  <c r="AS20" i="1" a="1"/>
  <c r="AS20" i="1" s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E10" i="4"/>
  <c r="D10" i="4"/>
  <c r="C10" i="4"/>
  <c r="H324" i="4" l="1"/>
  <c r="I324" i="4" s="1"/>
  <c r="D341" i="4"/>
  <c r="E341" i="4"/>
  <c r="D370" i="4"/>
  <c r="F377" i="4"/>
  <c r="F375" i="4" s="1"/>
  <c r="F296" i="4" s="1"/>
  <c r="D372" i="4"/>
  <c r="E373" i="4" s="1"/>
  <c r="F372" i="4" s="1"/>
  <c r="F291" i="4" s="1"/>
  <c r="F251" i="4"/>
  <c r="G251" i="4" s="1"/>
  <c r="H251" i="4" s="1"/>
  <c r="I251" i="4" s="1"/>
  <c r="C372" i="4"/>
  <c r="C370" i="4"/>
  <c r="E370" i="4"/>
  <c r="F246" i="4"/>
  <c r="F277" i="4"/>
  <c r="G277" i="4" s="1"/>
  <c r="H277" i="4" s="1"/>
  <c r="C340" i="4"/>
  <c r="C341" i="4" s="1"/>
  <c r="C324" i="4"/>
  <c r="F233" i="4"/>
  <c r="G233" i="4" s="1"/>
  <c r="H233" i="4" s="1"/>
  <c r="I233" i="4" s="1"/>
  <c r="E364" i="4"/>
  <c r="E421" i="4"/>
  <c r="E422" i="4" s="1"/>
  <c r="F265" i="4"/>
  <c r="G265" i="4" s="1"/>
  <c r="H265" i="4" s="1"/>
  <c r="I265" i="4" s="1"/>
  <c r="E419" i="4"/>
  <c r="E331" i="4"/>
  <c r="E338" i="4" s="1"/>
  <c r="D419" i="4"/>
  <c r="D428" i="4"/>
  <c r="E428" i="4"/>
  <c r="C331" i="4"/>
  <c r="C425" i="4"/>
  <c r="B331" i="4"/>
  <c r="B341" i="4"/>
  <c r="C419" i="4"/>
  <c r="F344" i="4"/>
  <c r="G344" i="4" s="1"/>
  <c r="C428" i="4"/>
  <c r="F347" i="4"/>
  <c r="G347" i="4" s="1"/>
  <c r="H347" i="4" s="1"/>
  <c r="I347" i="4" s="1"/>
  <c r="D331" i="4"/>
  <c r="D338" i="4" s="1"/>
  <c r="D425" i="4"/>
  <c r="C422" i="4"/>
  <c r="D422" i="4"/>
  <c r="B338" i="4"/>
  <c r="B111" i="4"/>
  <c r="B112" i="4" s="1"/>
  <c r="B108" i="4"/>
  <c r="B109" i="4" s="1"/>
  <c r="D112" i="4"/>
  <c r="D109" i="4"/>
  <c r="E109" i="4"/>
  <c r="F108" i="4"/>
  <c r="G111" i="4"/>
  <c r="F70" i="4"/>
  <c r="F226" i="4" s="1"/>
  <c r="E112" i="4"/>
  <c r="E213" i="4"/>
  <c r="E335" i="4" s="1"/>
  <c r="AT36" i="1"/>
  <c r="AU36" i="1"/>
  <c r="AS36" i="1"/>
  <c r="B203" i="4"/>
  <c r="B195" i="4"/>
  <c r="B192" i="4"/>
  <c r="B198" i="4"/>
  <c r="B188" i="4"/>
  <c r="B189" i="4" s="1"/>
  <c r="B185" i="4"/>
  <c r="B186" i="4" s="1"/>
  <c r="B182" i="4"/>
  <c r="B183" i="4" s="1"/>
  <c r="B179" i="4"/>
  <c r="B180" i="4" s="1"/>
  <c r="B176" i="4"/>
  <c r="B177" i="4" s="1"/>
  <c r="G377" i="4" l="1"/>
  <c r="H377" i="4" s="1"/>
  <c r="I377" i="4" s="1"/>
  <c r="D373" i="4"/>
  <c r="F376" i="4"/>
  <c r="F297" i="4" s="1"/>
  <c r="G372" i="4"/>
  <c r="G291" i="4" s="1"/>
  <c r="G246" i="4"/>
  <c r="C338" i="4"/>
  <c r="I277" i="4"/>
  <c r="E425" i="4"/>
  <c r="H344" i="4"/>
  <c r="I344" i="4" s="1"/>
  <c r="F331" i="4"/>
  <c r="F69" i="4"/>
  <c r="F73" i="4" s="1"/>
  <c r="F74" i="4" s="1"/>
  <c r="G108" i="4"/>
  <c r="H111" i="4"/>
  <c r="G70" i="4"/>
  <c r="G226" i="4" s="1"/>
  <c r="C5" i="4"/>
  <c r="D5" i="4" s="1"/>
  <c r="E5" i="4" s="1"/>
  <c r="F5" i="4" s="1"/>
  <c r="G5" i="4" s="1"/>
  <c r="H5" i="4" s="1"/>
  <c r="I5" i="4" s="1"/>
  <c r="D6" i="4"/>
  <c r="D365" i="4" s="1"/>
  <c r="E6" i="4"/>
  <c r="E365" i="4" s="1"/>
  <c r="D7" i="4"/>
  <c r="E7" i="4"/>
  <c r="D8" i="4"/>
  <c r="D366" i="4" s="1"/>
  <c r="E8" i="4"/>
  <c r="D9" i="4"/>
  <c r="E9" i="4"/>
  <c r="D12" i="4"/>
  <c r="E12" i="4"/>
  <c r="C13" i="4"/>
  <c r="D13" i="4"/>
  <c r="D14" i="4"/>
  <c r="E14" i="4"/>
  <c r="C15" i="4"/>
  <c r="D15" i="4"/>
  <c r="E15" i="4"/>
  <c r="C16" i="4"/>
  <c r="D16" i="4"/>
  <c r="E16" i="4"/>
  <c r="C18" i="4"/>
  <c r="D18" i="4"/>
  <c r="E18" i="4"/>
  <c r="D34" i="4"/>
  <c r="E34" i="4" s="1"/>
  <c r="F34" i="4" s="1"/>
  <c r="G34" i="4" s="1"/>
  <c r="H34" i="4" s="1"/>
  <c r="I34" i="4" s="1"/>
  <c r="B43" i="4"/>
  <c r="B80" i="4" s="1"/>
  <c r="B81" i="4" s="1"/>
  <c r="C43" i="4"/>
  <c r="C80" i="4" s="1"/>
  <c r="D43" i="4"/>
  <c r="D80" i="4" s="1"/>
  <c r="E43" i="4"/>
  <c r="E80" i="4" s="1"/>
  <c r="B44" i="4"/>
  <c r="B83" i="4" s="1"/>
  <c r="B84" i="4" s="1"/>
  <c r="C44" i="4"/>
  <c r="C83" i="4" s="1"/>
  <c r="D44" i="4"/>
  <c r="D83" i="4" s="1"/>
  <c r="E44" i="4"/>
  <c r="E83" i="4" s="1"/>
  <c r="B45" i="4"/>
  <c r="C45" i="4"/>
  <c r="D45" i="4"/>
  <c r="E45" i="4"/>
  <c r="B46" i="4"/>
  <c r="B89" i="4" s="1"/>
  <c r="B90" i="4" s="1"/>
  <c r="C46" i="4"/>
  <c r="C89" i="4" s="1"/>
  <c r="D46" i="4"/>
  <c r="D89" i="4" s="1"/>
  <c r="E46" i="4"/>
  <c r="E89" i="4" s="1"/>
  <c r="B47" i="4"/>
  <c r="B92" i="4" s="1"/>
  <c r="B93" i="4" s="1"/>
  <c r="C47" i="4"/>
  <c r="C92" i="4" s="1"/>
  <c r="D47" i="4"/>
  <c r="D86" i="4" s="1"/>
  <c r="E47" i="4"/>
  <c r="E86" i="4" s="1"/>
  <c r="B52" i="4"/>
  <c r="B95" i="4" s="1"/>
  <c r="C52" i="4"/>
  <c r="C95" i="4" s="1"/>
  <c r="D52" i="4"/>
  <c r="D53" i="4" s="1"/>
  <c r="E52" i="4"/>
  <c r="E53" i="4" s="1"/>
  <c r="B55" i="4"/>
  <c r="C55" i="4"/>
  <c r="D55" i="4"/>
  <c r="E55" i="4"/>
  <c r="B56" i="4"/>
  <c r="B97" i="4" s="1"/>
  <c r="C56" i="4"/>
  <c r="C97" i="4" s="1"/>
  <c r="D56" i="4"/>
  <c r="D97" i="4" s="1"/>
  <c r="E56" i="4"/>
  <c r="B57" i="4"/>
  <c r="B101" i="4" s="1"/>
  <c r="C57" i="4"/>
  <c r="D57" i="4"/>
  <c r="E57" i="4"/>
  <c r="B58" i="4"/>
  <c r="B105" i="4" s="1"/>
  <c r="C58" i="4"/>
  <c r="C105" i="4" s="1"/>
  <c r="D58" i="4"/>
  <c r="D105" i="4" s="1"/>
  <c r="E58" i="4"/>
  <c r="B59" i="4"/>
  <c r="C59" i="4"/>
  <c r="D59" i="4"/>
  <c r="E59" i="4"/>
  <c r="C63" i="4"/>
  <c r="C198" i="4" s="1"/>
  <c r="D63" i="4"/>
  <c r="D198" i="4" s="1"/>
  <c r="E63" i="4"/>
  <c r="E198" i="4" s="1"/>
  <c r="C66" i="4"/>
  <c r="C7" i="6" s="1"/>
  <c r="D66" i="4"/>
  <c r="D7" i="6" s="1"/>
  <c r="E66" i="4"/>
  <c r="E7" i="6" s="1"/>
  <c r="D78" i="4"/>
  <c r="E78" i="4" s="1"/>
  <c r="F78" i="4" s="1"/>
  <c r="G78" i="4" s="1"/>
  <c r="H78" i="4" s="1"/>
  <c r="I78" i="4" s="1"/>
  <c r="D117" i="4"/>
  <c r="E117" i="4" s="1"/>
  <c r="F117" i="4" s="1"/>
  <c r="G117" i="4" s="1"/>
  <c r="H117" i="4" s="1"/>
  <c r="I117" i="4" s="1"/>
  <c r="C119" i="4"/>
  <c r="C121" i="4" s="1"/>
  <c r="D119" i="4"/>
  <c r="D121" i="4" s="1"/>
  <c r="E119" i="4"/>
  <c r="F119" i="4" s="1"/>
  <c r="C122" i="4"/>
  <c r="D122" i="4"/>
  <c r="E122" i="4"/>
  <c r="C123" i="4"/>
  <c r="C179" i="4" s="1"/>
  <c r="D123" i="4"/>
  <c r="D179" i="4" s="1"/>
  <c r="E123" i="4"/>
  <c r="E179" i="4" s="1"/>
  <c r="C124" i="4"/>
  <c r="D124" i="4"/>
  <c r="E124" i="4"/>
  <c r="F124" i="4" s="1"/>
  <c r="C126" i="4"/>
  <c r="D126" i="4"/>
  <c r="E126" i="4"/>
  <c r="C127" i="4"/>
  <c r="D127" i="4"/>
  <c r="E127" i="4"/>
  <c r="C128" i="4"/>
  <c r="C188" i="4" s="1"/>
  <c r="D128" i="4"/>
  <c r="D188" i="4" s="1"/>
  <c r="E128" i="4"/>
  <c r="E188" i="4" s="1"/>
  <c r="C129" i="4"/>
  <c r="D129" i="4"/>
  <c r="E129" i="4"/>
  <c r="F129" i="4" s="1"/>
  <c r="C130" i="4"/>
  <c r="C182" i="4" s="1"/>
  <c r="D130" i="4"/>
  <c r="D182" i="4" s="1"/>
  <c r="E130" i="4"/>
  <c r="C131" i="4"/>
  <c r="C185" i="4" s="1"/>
  <c r="D131" i="4"/>
  <c r="D185" i="4" s="1"/>
  <c r="E131" i="4"/>
  <c r="E185" i="4" s="1"/>
  <c r="C133" i="4"/>
  <c r="D133" i="4"/>
  <c r="E133" i="4"/>
  <c r="F133" i="4" s="1"/>
  <c r="F262" i="4" s="1"/>
  <c r="C134" i="4"/>
  <c r="D134" i="4"/>
  <c r="E134" i="4"/>
  <c r="C136" i="4"/>
  <c r="D136" i="4"/>
  <c r="E136" i="4"/>
  <c r="F136" i="4" s="1"/>
  <c r="C137" i="4"/>
  <c r="D137" i="4"/>
  <c r="E137" i="4"/>
  <c r="F137" i="4" s="1"/>
  <c r="C139" i="4"/>
  <c r="D139" i="4"/>
  <c r="E139" i="4"/>
  <c r="F139" i="4" s="1"/>
  <c r="B140" i="4"/>
  <c r="C143" i="4"/>
  <c r="D143" i="4"/>
  <c r="E143" i="4"/>
  <c r="F143" i="4" s="1"/>
  <c r="F270" i="4" s="1"/>
  <c r="C144" i="4"/>
  <c r="D144" i="4"/>
  <c r="E144" i="4"/>
  <c r="F144" i="4" s="1"/>
  <c r="G144" i="4" s="1"/>
  <c r="H144" i="4" s="1"/>
  <c r="I144" i="4" s="1"/>
  <c r="C145" i="4"/>
  <c r="D145" i="4"/>
  <c r="E145" i="4"/>
  <c r="F145" i="4" s="1"/>
  <c r="C147" i="4"/>
  <c r="D147" i="4"/>
  <c r="E147" i="4"/>
  <c r="F147" i="4" s="1"/>
  <c r="C148" i="4"/>
  <c r="D148" i="4"/>
  <c r="E148" i="4"/>
  <c r="C149" i="4"/>
  <c r="D149" i="4"/>
  <c r="E149" i="4"/>
  <c r="F149" i="4" s="1"/>
  <c r="C150" i="4"/>
  <c r="D150" i="4"/>
  <c r="E150" i="4"/>
  <c r="F150" i="4" s="1"/>
  <c r="G150" i="4" s="1"/>
  <c r="H150" i="4" s="1"/>
  <c r="I150" i="4" s="1"/>
  <c r="C151" i="4"/>
  <c r="D151" i="4"/>
  <c r="E151" i="4"/>
  <c r="F151" i="4" s="1"/>
  <c r="G151" i="4" s="1"/>
  <c r="H151" i="4" s="1"/>
  <c r="I151" i="4" s="1"/>
  <c r="C153" i="4"/>
  <c r="D153" i="4"/>
  <c r="E153" i="4"/>
  <c r="C155" i="4"/>
  <c r="D155" i="4"/>
  <c r="E155" i="4"/>
  <c r="C156" i="4"/>
  <c r="D156" i="4"/>
  <c r="E156" i="4"/>
  <c r="F156" i="4" s="1"/>
  <c r="G156" i="4" s="1"/>
  <c r="H156" i="4" s="1"/>
  <c r="I156" i="4" s="1"/>
  <c r="C158" i="4"/>
  <c r="D158" i="4"/>
  <c r="E158" i="4"/>
  <c r="C159" i="4"/>
  <c r="D159" i="4"/>
  <c r="E159" i="4"/>
  <c r="F159" i="4" s="1"/>
  <c r="C162" i="4"/>
  <c r="D162" i="4"/>
  <c r="E162" i="4"/>
  <c r="F162" i="4" s="1"/>
  <c r="C163" i="4"/>
  <c r="D163" i="4"/>
  <c r="E163" i="4"/>
  <c r="F163" i="4" s="1"/>
  <c r="G163" i="4" s="1"/>
  <c r="H163" i="4" s="1"/>
  <c r="I163" i="4" s="1"/>
  <c r="C164" i="4"/>
  <c r="D164" i="4"/>
  <c r="E164" i="4"/>
  <c r="F164" i="4" s="1"/>
  <c r="G164" i="4" s="1"/>
  <c r="H164" i="4" s="1"/>
  <c r="I164" i="4" s="1"/>
  <c r="C165" i="4"/>
  <c r="D165" i="4"/>
  <c r="E165" i="4"/>
  <c r="F165" i="4" s="1"/>
  <c r="G165" i="4" s="1"/>
  <c r="H165" i="4" s="1"/>
  <c r="I165" i="4" s="1"/>
  <c r="C166" i="4"/>
  <c r="D166" i="4"/>
  <c r="E166" i="4"/>
  <c r="F166" i="4" s="1"/>
  <c r="G166" i="4" s="1"/>
  <c r="H166" i="4" s="1"/>
  <c r="I166" i="4" s="1"/>
  <c r="C167" i="4"/>
  <c r="C205" i="4" s="1"/>
  <c r="D167" i="4"/>
  <c r="D205" i="4" s="1"/>
  <c r="E167" i="4"/>
  <c r="F167" i="4" s="1"/>
  <c r="G167" i="4" s="1"/>
  <c r="H167" i="4" s="1"/>
  <c r="I167" i="4" s="1"/>
  <c r="C168" i="4"/>
  <c r="D168" i="4"/>
  <c r="E168" i="4"/>
  <c r="C169" i="4"/>
  <c r="D169" i="4"/>
  <c r="E169" i="4"/>
  <c r="E24" i="9"/>
  <c r="D24" i="9"/>
  <c r="E27" i="9"/>
  <c r="D27" i="9"/>
  <c r="E26" i="9"/>
  <c r="D26" i="9"/>
  <c r="E25" i="9"/>
  <c r="D25" i="9"/>
  <c r="E23" i="9"/>
  <c r="D23" i="9"/>
  <c r="E20" i="9"/>
  <c r="D20" i="9"/>
  <c r="E19" i="9"/>
  <c r="D19" i="9"/>
  <c r="E18" i="9"/>
  <c r="D18" i="9"/>
  <c r="E17" i="9"/>
  <c r="D17" i="9"/>
  <c r="E16" i="9"/>
  <c r="D16" i="9"/>
  <c r="E15" i="9"/>
  <c r="D15" i="9"/>
  <c r="E14" i="9"/>
  <c r="D14" i="9"/>
  <c r="E12" i="9"/>
  <c r="D12" i="9"/>
  <c r="E11" i="9"/>
  <c r="E22" i="9" s="1"/>
  <c r="D11" i="9"/>
  <c r="D22" i="9" s="1"/>
  <c r="E10" i="9"/>
  <c r="D10" i="9"/>
  <c r="E9" i="9"/>
  <c r="D9" i="9"/>
  <c r="E8" i="9"/>
  <c r="D8" i="9"/>
  <c r="E6" i="9"/>
  <c r="D6" i="9"/>
  <c r="E5" i="9"/>
  <c r="E7" i="9" s="1"/>
  <c r="D5" i="9"/>
  <c r="D7" i="9" s="1"/>
  <c r="C27" i="9"/>
  <c r="C26" i="9"/>
  <c r="C25" i="9"/>
  <c r="C23" i="9"/>
  <c r="C22" i="9"/>
  <c r="C20" i="9"/>
  <c r="C19" i="9"/>
  <c r="C18" i="9"/>
  <c r="C17" i="9"/>
  <c r="C16" i="9"/>
  <c r="C15" i="9"/>
  <c r="C14" i="9"/>
  <c r="C12" i="9"/>
  <c r="C11" i="9"/>
  <c r="C10" i="9"/>
  <c r="C9" i="9"/>
  <c r="C8" i="9"/>
  <c r="C7" i="9"/>
  <c r="C6" i="9"/>
  <c r="C5" i="9"/>
  <c r="C29" i="9"/>
  <c r="D29" i="9"/>
  <c r="E29" i="9"/>
  <c r="C30" i="9"/>
  <c r="D30" i="9"/>
  <c r="E30" i="9"/>
  <c r="B22" i="9"/>
  <c r="C32" i="9"/>
  <c r="D32" i="9"/>
  <c r="E32" i="9"/>
  <c r="D33" i="9"/>
  <c r="E33" i="9"/>
  <c r="B7" i="6"/>
  <c r="B6" i="6"/>
  <c r="B13" i="6"/>
  <c r="C13" i="6"/>
  <c r="C4" i="6"/>
  <c r="C4" i="10"/>
  <c r="C13" i="10"/>
  <c r="C16" i="10" s="1"/>
  <c r="F5" i="10"/>
  <c r="C3" i="10" s="1"/>
  <c r="G375" i="4" l="1"/>
  <c r="G296" i="4" s="1"/>
  <c r="H375" i="4"/>
  <c r="H296" i="4" s="1"/>
  <c r="G376" i="4"/>
  <c r="G297" i="4" s="1"/>
  <c r="G129" i="4"/>
  <c r="F283" i="4"/>
  <c r="F282" i="4"/>
  <c r="F285" i="4"/>
  <c r="F284" i="4"/>
  <c r="G137" i="4"/>
  <c r="F286" i="4"/>
  <c r="F287" i="4"/>
  <c r="H372" i="4"/>
  <c r="H291" i="4" s="1"/>
  <c r="H246" i="4"/>
  <c r="I246" i="4" s="1"/>
  <c r="F338" i="4"/>
  <c r="F337" i="4" s="1"/>
  <c r="F250" i="4" s="1"/>
  <c r="E214" i="4"/>
  <c r="F214" i="4" s="1"/>
  <c r="G214" i="4" s="1"/>
  <c r="H214" i="4" s="1"/>
  <c r="I214" i="4" s="1"/>
  <c r="G147" i="4"/>
  <c r="F272" i="4"/>
  <c r="G145" i="4"/>
  <c r="F271" i="4"/>
  <c r="G139" i="4"/>
  <c r="F267" i="4"/>
  <c r="E328" i="4"/>
  <c r="D349" i="4"/>
  <c r="D352" i="4" s="1"/>
  <c r="D328" i="4"/>
  <c r="E366" i="4"/>
  <c r="G159" i="4"/>
  <c r="F275" i="4"/>
  <c r="C328" i="4"/>
  <c r="E354" i="4"/>
  <c r="E357" i="4" s="1"/>
  <c r="D354" i="4"/>
  <c r="D357" i="4" s="1"/>
  <c r="E349" i="4"/>
  <c r="E352" i="4" s="1"/>
  <c r="F134" i="4"/>
  <c r="F135" i="4" s="1"/>
  <c r="E359" i="4"/>
  <c r="E362" i="4" s="1"/>
  <c r="C214" i="4"/>
  <c r="C215" i="4" s="1"/>
  <c r="D359" i="4"/>
  <c r="D362" i="4" s="1"/>
  <c r="D214" i="4"/>
  <c r="D215" i="4" s="1"/>
  <c r="G331" i="4"/>
  <c r="G124" i="4"/>
  <c r="F259" i="4"/>
  <c r="C86" i="4"/>
  <c r="B86" i="4"/>
  <c r="B87" i="4" s="1"/>
  <c r="F126" i="4"/>
  <c r="F349" i="4" s="1"/>
  <c r="I111" i="4"/>
  <c r="I70" i="4" s="1"/>
  <c r="I226" i="4" s="1"/>
  <c r="H70" i="4"/>
  <c r="H226" i="4" s="1"/>
  <c r="H108" i="4"/>
  <c r="G69" i="4"/>
  <c r="G73" i="4" s="1"/>
  <c r="G74" i="4" s="1"/>
  <c r="C316" i="4"/>
  <c r="C319" i="4"/>
  <c r="E316" i="4"/>
  <c r="E319" i="4"/>
  <c r="F169" i="4"/>
  <c r="G169" i="4" s="1"/>
  <c r="H169" i="4" s="1"/>
  <c r="I169" i="4" s="1"/>
  <c r="D101" i="4"/>
  <c r="D316" i="4"/>
  <c r="D319" i="4"/>
  <c r="C101" i="4"/>
  <c r="G162" i="4"/>
  <c r="F152" i="4"/>
  <c r="G149" i="4"/>
  <c r="E97" i="4"/>
  <c r="F97" i="4" s="1"/>
  <c r="F56" i="4" s="1"/>
  <c r="F138" i="4"/>
  <c r="G136" i="4"/>
  <c r="G119" i="4"/>
  <c r="F146" i="4"/>
  <c r="G143" i="4"/>
  <c r="G270" i="4" s="1"/>
  <c r="E105" i="4"/>
  <c r="F105" i="4" s="1"/>
  <c r="F58" i="4" s="1"/>
  <c r="F36" i="4"/>
  <c r="G133" i="4"/>
  <c r="G262" i="4" s="1"/>
  <c r="E101" i="4"/>
  <c r="F101" i="4" s="1"/>
  <c r="F57" i="4" s="1"/>
  <c r="B102" i="4"/>
  <c r="B103" i="4"/>
  <c r="B106" i="4"/>
  <c r="B98" i="4"/>
  <c r="B99" i="4"/>
  <c r="C154" i="4"/>
  <c r="C218" i="4" s="1"/>
  <c r="D154" i="4"/>
  <c r="D218" i="4" s="1"/>
  <c r="D11" i="4"/>
  <c r="E11" i="4"/>
  <c r="E189" i="4"/>
  <c r="D189" i="4"/>
  <c r="D180" i="4"/>
  <c r="E205" i="4"/>
  <c r="E154" i="4"/>
  <c r="E218" i="4" s="1"/>
  <c r="D186" i="4"/>
  <c r="E186" i="4"/>
  <c r="D183" i="4"/>
  <c r="E182" i="4"/>
  <c r="C140" i="4"/>
  <c r="D176" i="4"/>
  <c r="E176" i="4"/>
  <c r="C176" i="4"/>
  <c r="E121" i="4"/>
  <c r="E157" i="4"/>
  <c r="C125" i="4"/>
  <c r="D157" i="4"/>
  <c r="E132" i="4"/>
  <c r="E92" i="4"/>
  <c r="D92" i="4"/>
  <c r="E95" i="4"/>
  <c r="D138" i="4"/>
  <c r="D132" i="4"/>
  <c r="D95" i="4"/>
  <c r="C146" i="4"/>
  <c r="D135" i="4"/>
  <c r="D48" i="4"/>
  <c r="D50" i="4" s="1"/>
  <c r="D87" i="4" s="1"/>
  <c r="C48" i="4"/>
  <c r="C50" i="4" s="1"/>
  <c r="C152" i="4"/>
  <c r="D206" i="4"/>
  <c r="C194" i="4"/>
  <c r="C197" i="4"/>
  <c r="C202" i="4"/>
  <c r="D140" i="4"/>
  <c r="E135" i="4"/>
  <c r="C132" i="4"/>
  <c r="E48" i="4"/>
  <c r="E170" i="4"/>
  <c r="D191" i="4"/>
  <c r="E191" i="4"/>
  <c r="F191" i="4" s="1"/>
  <c r="G191" i="4" s="1"/>
  <c r="H191" i="4" s="1"/>
  <c r="I191" i="4" s="1"/>
  <c r="C191" i="4"/>
  <c r="C135" i="4"/>
  <c r="D152" i="4"/>
  <c r="C157" i="4"/>
  <c r="E194" i="4"/>
  <c r="E146" i="4"/>
  <c r="C138" i="4"/>
  <c r="E125" i="4"/>
  <c r="D60" i="4"/>
  <c r="D106" i="4" s="1"/>
  <c r="E197" i="4"/>
  <c r="D194" i="4"/>
  <c r="D146" i="4"/>
  <c r="E138" i="4"/>
  <c r="D125" i="4"/>
  <c r="C60" i="4"/>
  <c r="E202" i="4"/>
  <c r="D170" i="4"/>
  <c r="D197" i="4"/>
  <c r="D202" i="4"/>
  <c r="C170" i="4"/>
  <c r="E140" i="4"/>
  <c r="F140" i="4" s="1"/>
  <c r="G140" i="4" s="1"/>
  <c r="H140" i="4" s="1"/>
  <c r="I140" i="4" s="1"/>
  <c r="E152" i="4"/>
  <c r="E60" i="4"/>
  <c r="C53" i="4"/>
  <c r="D4" i="6"/>
  <c r="E4" i="6"/>
  <c r="C15" i="10"/>
  <c r="C8" i="10"/>
  <c r="H376" i="4" l="1"/>
  <c r="H297" i="4" s="1"/>
  <c r="I375" i="4"/>
  <c r="G284" i="4"/>
  <c r="G285" i="4"/>
  <c r="H137" i="4"/>
  <c r="G287" i="4"/>
  <c r="G286" i="4"/>
  <c r="H129" i="4"/>
  <c r="G283" i="4"/>
  <c r="G282" i="4"/>
  <c r="I372" i="4"/>
  <c r="I291" i="4" s="1"/>
  <c r="H331" i="4"/>
  <c r="I331" i="4" s="1"/>
  <c r="I338" i="4" s="1"/>
  <c r="H159" i="4"/>
  <c r="G275" i="4"/>
  <c r="F366" i="4"/>
  <c r="H139" i="4"/>
  <c r="G267" i="4"/>
  <c r="H145" i="4"/>
  <c r="G271" i="4"/>
  <c r="F328" i="4"/>
  <c r="H147" i="4"/>
  <c r="G272" i="4"/>
  <c r="G338" i="4"/>
  <c r="G337" i="4" s="1"/>
  <c r="G340" i="4" s="1"/>
  <c r="G365" i="4"/>
  <c r="F365" i="4"/>
  <c r="G134" i="4"/>
  <c r="F359" i="4"/>
  <c r="F361" i="4" s="1"/>
  <c r="F263" i="4" s="1"/>
  <c r="F352" i="4"/>
  <c r="G352" i="4" s="1"/>
  <c r="C87" i="4"/>
  <c r="G126" i="4"/>
  <c r="G349" i="4" s="1"/>
  <c r="F239" i="4"/>
  <c r="F346" i="4"/>
  <c r="F255" i="4" s="1"/>
  <c r="H124" i="4"/>
  <c r="G259" i="4"/>
  <c r="F340" i="4"/>
  <c r="F253" i="4" s="1"/>
  <c r="G253" i="4" s="1"/>
  <c r="H253" i="4" s="1"/>
  <c r="I253" i="4" s="1"/>
  <c r="D217" i="4"/>
  <c r="E217" i="4"/>
  <c r="C217" i="4"/>
  <c r="I108" i="4"/>
  <c r="I69" i="4" s="1"/>
  <c r="I73" i="4" s="1"/>
  <c r="I74" i="4" s="1"/>
  <c r="H69" i="4"/>
  <c r="H73" i="4" s="1"/>
  <c r="H74" i="4" s="1"/>
  <c r="F319" i="4"/>
  <c r="G319" i="4" s="1"/>
  <c r="H319" i="4" s="1"/>
  <c r="I319" i="4" s="1"/>
  <c r="C102" i="4"/>
  <c r="G36" i="4"/>
  <c r="F316" i="4"/>
  <c r="G316" i="4" s="1"/>
  <c r="F148" i="4"/>
  <c r="F273" i="4" s="1"/>
  <c r="F95" i="4"/>
  <c r="E102" i="4"/>
  <c r="H133" i="4"/>
  <c r="H262" i="4" s="1"/>
  <c r="H119" i="4"/>
  <c r="G97" i="4"/>
  <c r="G56" i="4" s="1"/>
  <c r="F55" i="4"/>
  <c r="F59" i="4"/>
  <c r="G59" i="4" s="1"/>
  <c r="H149" i="4"/>
  <c r="G152" i="4"/>
  <c r="E183" i="4"/>
  <c r="F183" i="4" s="1"/>
  <c r="F182" i="4" s="1"/>
  <c r="F212" i="4"/>
  <c r="F35" i="4"/>
  <c r="G105" i="4"/>
  <c r="G58" i="4" s="1"/>
  <c r="H136" i="4"/>
  <c r="G138" i="4"/>
  <c r="H143" i="4"/>
  <c r="H270" i="4" s="1"/>
  <c r="G146" i="4"/>
  <c r="H162" i="4"/>
  <c r="G101" i="4"/>
  <c r="G57" i="4" s="1"/>
  <c r="F186" i="4"/>
  <c r="F185" i="4" s="1"/>
  <c r="E206" i="4"/>
  <c r="F206" i="4" s="1"/>
  <c r="F40" i="4"/>
  <c r="G40" i="4" s="1"/>
  <c r="H40" i="4" s="1"/>
  <c r="F39" i="4"/>
  <c r="F189" i="4"/>
  <c r="F188" i="4" s="1"/>
  <c r="F127" i="4"/>
  <c r="C98" i="4"/>
  <c r="D98" i="4"/>
  <c r="C106" i="4"/>
  <c r="E98" i="4"/>
  <c r="E106" i="4"/>
  <c r="D102" i="4"/>
  <c r="E215" i="4"/>
  <c r="D195" i="4"/>
  <c r="D203" i="4"/>
  <c r="E203" i="4"/>
  <c r="D192" i="4"/>
  <c r="E195" i="4"/>
  <c r="E192" i="4"/>
  <c r="D199" i="4"/>
  <c r="D177" i="4"/>
  <c r="E199" i="4"/>
  <c r="F199" i="4" s="1"/>
  <c r="G199" i="4" s="1"/>
  <c r="H199" i="4" s="1"/>
  <c r="I199" i="4" s="1"/>
  <c r="C160" i="4"/>
  <c r="C171" i="4" s="1"/>
  <c r="C141" i="4"/>
  <c r="D160" i="4"/>
  <c r="D171" i="4" s="1"/>
  <c r="D93" i="4"/>
  <c r="C90" i="4"/>
  <c r="C93" i="4"/>
  <c r="D84" i="4"/>
  <c r="C81" i="4"/>
  <c r="D90" i="4"/>
  <c r="D81" i="4"/>
  <c r="C84" i="4"/>
  <c r="D61" i="4"/>
  <c r="D64" i="4" s="1"/>
  <c r="D6" i="6" s="1"/>
  <c r="E50" i="4"/>
  <c r="E93" i="4" s="1"/>
  <c r="E141" i="4"/>
  <c r="D141" i="4"/>
  <c r="E160" i="4"/>
  <c r="E171" i="4" s="1"/>
  <c r="C61" i="4"/>
  <c r="C64" i="4" s="1"/>
  <c r="C6" i="6" s="1"/>
  <c r="F4" i="6"/>
  <c r="C6" i="10"/>
  <c r="P88" i="1"/>
  <c r="Q88" i="1"/>
  <c r="P74" i="1"/>
  <c r="Q74" i="1"/>
  <c r="K5" i="1"/>
  <c r="J5" i="1" s="1"/>
  <c r="I376" i="4" l="1"/>
  <c r="I297" i="4" s="1"/>
  <c r="I296" i="4"/>
  <c r="H284" i="4"/>
  <c r="H285" i="4"/>
  <c r="I129" i="4"/>
  <c r="H283" i="4"/>
  <c r="H282" i="4"/>
  <c r="H338" i="4"/>
  <c r="H337" i="4" s="1"/>
  <c r="H250" i="4" s="1"/>
  <c r="I137" i="4"/>
  <c r="H287" i="4"/>
  <c r="H286" i="4"/>
  <c r="H126" i="4"/>
  <c r="H349" i="4" s="1"/>
  <c r="G250" i="4"/>
  <c r="H365" i="4"/>
  <c r="F327" i="4"/>
  <c r="I145" i="4"/>
  <c r="I271" i="4" s="1"/>
  <c r="H271" i="4"/>
  <c r="I139" i="4"/>
  <c r="I267" i="4" s="1"/>
  <c r="H267" i="4"/>
  <c r="I147" i="4"/>
  <c r="I272" i="4" s="1"/>
  <c r="H272" i="4"/>
  <c r="G366" i="4"/>
  <c r="F364" i="4"/>
  <c r="G328" i="4"/>
  <c r="H328" i="4" s="1"/>
  <c r="I159" i="4"/>
  <c r="I275" i="4" s="1"/>
  <c r="H275" i="4"/>
  <c r="H134" i="4"/>
  <c r="H135" i="4" s="1"/>
  <c r="G359" i="4"/>
  <c r="G361" i="4" s="1"/>
  <c r="G263" i="4" s="1"/>
  <c r="F354" i="4"/>
  <c r="F356" i="4" s="1"/>
  <c r="F261" i="4" s="1"/>
  <c r="G135" i="4"/>
  <c r="G95" i="4"/>
  <c r="F351" i="4"/>
  <c r="F260" i="4" s="1"/>
  <c r="H352" i="4"/>
  <c r="I352" i="4" s="1"/>
  <c r="G351" i="4"/>
  <c r="G260" i="4" s="1"/>
  <c r="F418" i="4"/>
  <c r="F421" i="4" s="1"/>
  <c r="F424" i="4" s="1"/>
  <c r="F427" i="4" s="1"/>
  <c r="I124" i="4"/>
  <c r="I259" i="4" s="1"/>
  <c r="H259" i="4"/>
  <c r="G239" i="4"/>
  <c r="G346" i="4"/>
  <c r="G255" i="4" s="1"/>
  <c r="F238" i="4"/>
  <c r="F343" i="4"/>
  <c r="F254" i="4" s="1"/>
  <c r="G148" i="4"/>
  <c r="G273" i="4" s="1"/>
  <c r="F315" i="4"/>
  <c r="F228" i="4" s="1"/>
  <c r="G189" i="4"/>
  <c r="H189" i="4" s="1"/>
  <c r="H316" i="4"/>
  <c r="I316" i="4" s="1"/>
  <c r="G315" i="4"/>
  <c r="G228" i="4" s="1"/>
  <c r="G318" i="4"/>
  <c r="G229" i="4" s="1"/>
  <c r="F318" i="4"/>
  <c r="F229" i="4" s="1"/>
  <c r="G186" i="4"/>
  <c r="H186" i="4" s="1"/>
  <c r="I186" i="4" s="1"/>
  <c r="G183" i="4"/>
  <c r="H183" i="4" s="1"/>
  <c r="I183" i="4" s="1"/>
  <c r="I40" i="4"/>
  <c r="F52" i="4"/>
  <c r="F53" i="4" s="1"/>
  <c r="F197" i="4"/>
  <c r="G197" i="4" s="1"/>
  <c r="H59" i="4"/>
  <c r="I59" i="4" s="1"/>
  <c r="F130" i="4"/>
  <c r="F205" i="4"/>
  <c r="G206" i="4"/>
  <c r="H206" i="4" s="1"/>
  <c r="I206" i="4" s="1"/>
  <c r="F195" i="4"/>
  <c r="F194" i="4" s="1"/>
  <c r="I136" i="4"/>
  <c r="H138" i="4"/>
  <c r="F60" i="4"/>
  <c r="G55" i="4"/>
  <c r="H105" i="4"/>
  <c r="H58" i="4" s="1"/>
  <c r="H97" i="4"/>
  <c r="H56" i="4" s="1"/>
  <c r="F37" i="4"/>
  <c r="G35" i="4"/>
  <c r="F10" i="4"/>
  <c r="F203" i="4"/>
  <c r="F202" i="4" s="1"/>
  <c r="F128" i="4"/>
  <c r="F131" i="4"/>
  <c r="F266" i="4" s="1"/>
  <c r="F41" i="4"/>
  <c r="G39" i="4"/>
  <c r="I162" i="4"/>
  <c r="F213" i="4"/>
  <c r="G212" i="4"/>
  <c r="I119" i="4"/>
  <c r="H101" i="4"/>
  <c r="H57" i="4" s="1"/>
  <c r="H146" i="4"/>
  <c r="I143" i="4"/>
  <c r="G127" i="4"/>
  <c r="F215" i="4"/>
  <c r="F153" i="4" s="1"/>
  <c r="F154" i="4" s="1"/>
  <c r="F218" i="4" s="1"/>
  <c r="I133" i="4"/>
  <c r="H152" i="4"/>
  <c r="I149" i="4"/>
  <c r="I152" i="4" s="1"/>
  <c r="F93" i="4"/>
  <c r="F92" i="4" s="1"/>
  <c r="E177" i="4"/>
  <c r="F177" i="4" s="1"/>
  <c r="E180" i="4"/>
  <c r="E61" i="4"/>
  <c r="E64" i="4" s="1"/>
  <c r="E6" i="6" s="1"/>
  <c r="E87" i="4"/>
  <c r="E81" i="4"/>
  <c r="E84" i="4"/>
  <c r="F84" i="4" s="1"/>
  <c r="F83" i="4" s="1"/>
  <c r="E90" i="4"/>
  <c r="F90" i="4" s="1"/>
  <c r="G4" i="6"/>
  <c r="I126" i="4" l="1"/>
  <c r="I349" i="4" s="1"/>
  <c r="I351" i="4" s="1"/>
  <c r="I260" i="4" s="1"/>
  <c r="I287" i="4"/>
  <c r="I286" i="4"/>
  <c r="I138" i="4"/>
  <c r="I284" i="4"/>
  <c r="I285" i="4"/>
  <c r="I283" i="4"/>
  <c r="I282" i="4"/>
  <c r="F280" i="4"/>
  <c r="F368" i="4"/>
  <c r="F369" i="4" s="1"/>
  <c r="F281" i="4" s="1"/>
  <c r="F292" i="4" s="1"/>
  <c r="I365" i="4"/>
  <c r="H95" i="4"/>
  <c r="H52" i="4" s="1"/>
  <c r="H53" i="4" s="1"/>
  <c r="H340" i="4"/>
  <c r="G52" i="4"/>
  <c r="G53" i="4" s="1"/>
  <c r="I337" i="4"/>
  <c r="I250" i="4" s="1"/>
  <c r="I328" i="4"/>
  <c r="F264" i="4"/>
  <c r="G364" i="4"/>
  <c r="I366" i="4"/>
  <c r="H366" i="4"/>
  <c r="I146" i="4"/>
  <c r="I270" i="4"/>
  <c r="G327" i="4"/>
  <c r="F243" i="4"/>
  <c r="F330" i="4"/>
  <c r="G354" i="4"/>
  <c r="G356" i="4" s="1"/>
  <c r="G261" i="4" s="1"/>
  <c r="I134" i="4"/>
  <c r="I359" i="4" s="1"/>
  <c r="I361" i="4" s="1"/>
  <c r="I263" i="4" s="1"/>
  <c r="H359" i="4"/>
  <c r="H361" i="4" s="1"/>
  <c r="H263" i="4" s="1"/>
  <c r="H351" i="4"/>
  <c r="H260" i="4" s="1"/>
  <c r="I262" i="4"/>
  <c r="G418" i="4"/>
  <c r="G421" i="4" s="1"/>
  <c r="G424" i="4" s="1"/>
  <c r="G427" i="4" s="1"/>
  <c r="F335" i="4"/>
  <c r="F333" i="4" s="1"/>
  <c r="G238" i="4"/>
  <c r="G343" i="4"/>
  <c r="G254" i="4" s="1"/>
  <c r="H36" i="4"/>
  <c r="H148" i="4"/>
  <c r="I189" i="4"/>
  <c r="G188" i="4"/>
  <c r="G128" i="4" s="1"/>
  <c r="G185" i="4"/>
  <c r="G131" i="4" s="1"/>
  <c r="G266" i="4" s="1"/>
  <c r="H315" i="4"/>
  <c r="H228" i="4" s="1"/>
  <c r="H318" i="4"/>
  <c r="H229" i="4" s="1"/>
  <c r="G195" i="4"/>
  <c r="G194" i="4" s="1"/>
  <c r="F155" i="4"/>
  <c r="F157" i="4" s="1"/>
  <c r="G182" i="4"/>
  <c r="H182" i="4" s="1"/>
  <c r="G93" i="4"/>
  <c r="H93" i="4" s="1"/>
  <c r="I93" i="4" s="1"/>
  <c r="F81" i="4"/>
  <c r="F80" i="4" s="1"/>
  <c r="F43" i="4" s="1"/>
  <c r="F240" i="4" s="1"/>
  <c r="F176" i="4"/>
  <c r="F89" i="4"/>
  <c r="G90" i="4"/>
  <c r="H90" i="4" s="1"/>
  <c r="I90" i="4" s="1"/>
  <c r="F44" i="4"/>
  <c r="G37" i="4"/>
  <c r="H35" i="4"/>
  <c r="G10" i="4"/>
  <c r="H197" i="4"/>
  <c r="G155" i="4"/>
  <c r="G157" i="4" s="1"/>
  <c r="F180" i="4"/>
  <c r="F179" i="4" s="1"/>
  <c r="I97" i="4"/>
  <c r="I56" i="4" s="1"/>
  <c r="G205" i="4"/>
  <c r="H205" i="4" s="1"/>
  <c r="I205" i="4" s="1"/>
  <c r="I101" i="4"/>
  <c r="I57" i="4" s="1"/>
  <c r="G177" i="4"/>
  <c r="H177" i="4" s="1"/>
  <c r="F132" i="4"/>
  <c r="I105" i="4"/>
  <c r="I58" i="4" s="1"/>
  <c r="G203" i="4"/>
  <c r="H203" i="4" s="1"/>
  <c r="G60" i="4"/>
  <c r="H55" i="4"/>
  <c r="G41" i="4"/>
  <c r="H39" i="4"/>
  <c r="F158" i="4"/>
  <c r="F102" i="4"/>
  <c r="F98" i="4"/>
  <c r="F106" i="4"/>
  <c r="F47" i="4"/>
  <c r="H127" i="4"/>
  <c r="G215" i="4"/>
  <c r="G153" i="4" s="1"/>
  <c r="G154" i="4" s="1"/>
  <c r="G218" i="4" s="1"/>
  <c r="H212" i="4"/>
  <c r="G213" i="4"/>
  <c r="G84" i="4"/>
  <c r="G83" i="4" s="1"/>
  <c r="F87" i="4"/>
  <c r="F86" i="4" s="1"/>
  <c r="F11" i="4"/>
  <c r="H4" i="6"/>
  <c r="I4" i="6"/>
  <c r="C7" i="10"/>
  <c r="C9" i="10" s="1"/>
  <c r="C18" i="10" s="1"/>
  <c r="G280" i="4" l="1"/>
  <c r="G368" i="4"/>
  <c r="G369" i="4" s="1"/>
  <c r="G281" i="4" s="1"/>
  <c r="G292" i="4" s="1"/>
  <c r="F249" i="4"/>
  <c r="F244" i="4"/>
  <c r="I95" i="4"/>
  <c r="I52" i="4" s="1"/>
  <c r="I53" i="4" s="1"/>
  <c r="I340" i="4"/>
  <c r="H327" i="4"/>
  <c r="G243" i="4"/>
  <c r="G330" i="4"/>
  <c r="G244" i="4" s="1"/>
  <c r="I148" i="4"/>
  <c r="I273" i="4" s="1"/>
  <c r="H273" i="4"/>
  <c r="F160" i="4"/>
  <c r="F274" i="4"/>
  <c r="I135" i="4"/>
  <c r="H364" i="4"/>
  <c r="G264" i="4"/>
  <c r="H354" i="4"/>
  <c r="H356" i="4" s="1"/>
  <c r="H261" i="4" s="1"/>
  <c r="F237" i="4"/>
  <c r="G335" i="4"/>
  <c r="G333" i="4" s="1"/>
  <c r="H238" i="4"/>
  <c r="H343" i="4"/>
  <c r="H254" i="4" s="1"/>
  <c r="I36" i="4"/>
  <c r="H346" i="4"/>
  <c r="H239" i="4"/>
  <c r="F232" i="4"/>
  <c r="F236" i="4" s="1"/>
  <c r="H188" i="4"/>
  <c r="I188" i="4" s="1"/>
  <c r="I128" i="4" s="1"/>
  <c r="H185" i="4"/>
  <c r="H131" i="4" s="1"/>
  <c r="H266" i="4" s="1"/>
  <c r="I315" i="4"/>
  <c r="I228" i="4" s="1"/>
  <c r="I318" i="4"/>
  <c r="I229" i="4" s="1"/>
  <c r="H195" i="4"/>
  <c r="I195" i="4" s="1"/>
  <c r="G180" i="4"/>
  <c r="G179" i="4" s="1"/>
  <c r="G92" i="4"/>
  <c r="H92" i="4" s="1"/>
  <c r="G130" i="4"/>
  <c r="G132" i="4" s="1"/>
  <c r="G87" i="4"/>
  <c r="G81" i="4"/>
  <c r="G11" i="4"/>
  <c r="G44" i="4"/>
  <c r="F123" i="4"/>
  <c r="G202" i="4"/>
  <c r="I203" i="4"/>
  <c r="G89" i="4"/>
  <c r="F46" i="4"/>
  <c r="H84" i="4"/>
  <c r="I84" i="4" s="1"/>
  <c r="H155" i="4"/>
  <c r="H157" i="4" s="1"/>
  <c r="I197" i="4"/>
  <c r="I155" i="4" s="1"/>
  <c r="I157" i="4" s="1"/>
  <c r="I177" i="4"/>
  <c r="H130" i="4"/>
  <c r="I182" i="4"/>
  <c r="I130" i="4" s="1"/>
  <c r="F122" i="4"/>
  <c r="F258" i="4" s="1"/>
  <c r="G176" i="4"/>
  <c r="I212" i="4"/>
  <c r="H213" i="4"/>
  <c r="H335" i="4" s="1"/>
  <c r="H37" i="4"/>
  <c r="H10" i="4"/>
  <c r="I35" i="4"/>
  <c r="G106" i="4"/>
  <c r="G102" i="4"/>
  <c r="G98" i="4"/>
  <c r="I127" i="4"/>
  <c r="H215" i="4"/>
  <c r="H153" i="4" s="1"/>
  <c r="H154" i="4" s="1"/>
  <c r="H218" i="4" s="1"/>
  <c r="H41" i="4"/>
  <c r="I39" i="4"/>
  <c r="I41" i="4" s="1"/>
  <c r="F45" i="4"/>
  <c r="H60" i="4"/>
  <c r="I55" i="4"/>
  <c r="I60" i="4" s="1"/>
  <c r="I102" i="4" s="1"/>
  <c r="I364" i="4" l="1"/>
  <c r="I264" i="4" s="1"/>
  <c r="H264" i="4"/>
  <c r="I327" i="4"/>
  <c r="H243" i="4"/>
  <c r="H330" i="4"/>
  <c r="H244" i="4" s="1"/>
  <c r="I354" i="4"/>
  <c r="I356" i="4" s="1"/>
  <c r="I261" i="4" s="1"/>
  <c r="G237" i="4"/>
  <c r="G249" i="4"/>
  <c r="H333" i="4"/>
  <c r="H249" i="4" s="1"/>
  <c r="H255" i="4"/>
  <c r="H418" i="4"/>
  <c r="H421" i="4" s="1"/>
  <c r="H424" i="4" s="1"/>
  <c r="H427" i="4" s="1"/>
  <c r="I239" i="4"/>
  <c r="I346" i="4"/>
  <c r="I237" i="4"/>
  <c r="H237" i="4"/>
  <c r="I238" i="4"/>
  <c r="I343" i="4"/>
  <c r="I254" i="4" s="1"/>
  <c r="H232" i="4"/>
  <c r="H236" i="4" s="1"/>
  <c r="G232" i="4"/>
  <c r="G236" i="4" s="1"/>
  <c r="H180" i="4"/>
  <c r="I180" i="4" s="1"/>
  <c r="H194" i="4"/>
  <c r="I194" i="4" s="1"/>
  <c r="H128" i="4"/>
  <c r="H368" i="4" s="1"/>
  <c r="H369" i="4" s="1"/>
  <c r="H281" i="4" s="1"/>
  <c r="I185" i="4"/>
  <c r="I131" i="4" s="1"/>
  <c r="G47" i="4"/>
  <c r="H132" i="4"/>
  <c r="G86" i="4"/>
  <c r="G45" i="4" s="1"/>
  <c r="H87" i="4"/>
  <c r="F48" i="4"/>
  <c r="F50" i="4" s="1"/>
  <c r="F61" i="4" s="1"/>
  <c r="H81" i="4"/>
  <c r="I81" i="4" s="1"/>
  <c r="G80" i="4"/>
  <c r="I215" i="4"/>
  <c r="I153" i="4" s="1"/>
  <c r="I154" i="4" s="1"/>
  <c r="I218" i="4" s="1"/>
  <c r="I106" i="4"/>
  <c r="I98" i="4"/>
  <c r="H47" i="4"/>
  <c r="I92" i="4"/>
  <c r="I47" i="4" s="1"/>
  <c r="H83" i="4"/>
  <c r="I37" i="4"/>
  <c r="I10" i="4"/>
  <c r="H106" i="4"/>
  <c r="H98" i="4"/>
  <c r="H102" i="4"/>
  <c r="G123" i="4"/>
  <c r="I213" i="4"/>
  <c r="H89" i="4"/>
  <c r="G46" i="4"/>
  <c r="G122" i="4"/>
  <c r="G258" i="4" s="1"/>
  <c r="H176" i="4"/>
  <c r="F125" i="4"/>
  <c r="F208" i="4" s="1"/>
  <c r="H202" i="4"/>
  <c r="G158" i="4"/>
  <c r="I368" i="4" l="1"/>
  <c r="I369" i="4" s="1"/>
  <c r="I281" i="4" s="1"/>
  <c r="H11" i="4"/>
  <c r="H280" i="4"/>
  <c r="H292" i="4" s="1"/>
  <c r="I280" i="4"/>
  <c r="I132" i="4"/>
  <c r="I266" i="4"/>
  <c r="I330" i="4"/>
  <c r="I244" i="4" s="1"/>
  <c r="I243" i="4"/>
  <c r="G160" i="4"/>
  <c r="G274" i="4"/>
  <c r="I255" i="4"/>
  <c r="I418" i="4"/>
  <c r="I421" i="4" s="1"/>
  <c r="I424" i="4" s="1"/>
  <c r="I427" i="4" s="1"/>
  <c r="I232" i="4"/>
  <c r="I236" i="4" s="1"/>
  <c r="I335" i="4"/>
  <c r="I333" i="4" s="1"/>
  <c r="I249" i="4" s="1"/>
  <c r="H179" i="4"/>
  <c r="H123" i="4" s="1"/>
  <c r="F13" i="4"/>
  <c r="I11" i="4"/>
  <c r="F63" i="4"/>
  <c r="F198" i="4" s="1"/>
  <c r="F224" i="4"/>
  <c r="F256" i="4" s="1"/>
  <c r="F276" i="4" s="1"/>
  <c r="F278" i="4" s="1"/>
  <c r="H86" i="4"/>
  <c r="H45" i="4" s="1"/>
  <c r="I87" i="4"/>
  <c r="H80" i="4"/>
  <c r="G43" i="4"/>
  <c r="I89" i="4"/>
  <c r="I46" i="4" s="1"/>
  <c r="H46" i="4"/>
  <c r="H44" i="4"/>
  <c r="I83" i="4"/>
  <c r="I44" i="4" s="1"/>
  <c r="H158" i="4"/>
  <c r="I202" i="4"/>
  <c r="I158" i="4" s="1"/>
  <c r="H122" i="4"/>
  <c r="H258" i="4" s="1"/>
  <c r="I176" i="4"/>
  <c r="I122" i="4" s="1"/>
  <c r="I258" i="4" s="1"/>
  <c r="G125" i="4"/>
  <c r="G208" i="4" s="1"/>
  <c r="I292" i="4" l="1"/>
  <c r="I179" i="4"/>
  <c r="I123" i="4" s="1"/>
  <c r="I125" i="4" s="1"/>
  <c r="I208" i="4" s="1"/>
  <c r="I160" i="4"/>
  <c r="I274" i="4"/>
  <c r="H160" i="4"/>
  <c r="H274" i="4"/>
  <c r="G48" i="4"/>
  <c r="G13" i="4" s="1"/>
  <c r="G240" i="4"/>
  <c r="I86" i="4"/>
  <c r="I45" i="4" s="1"/>
  <c r="F64" i="4"/>
  <c r="F66" i="4" s="1"/>
  <c r="H43" i="4"/>
  <c r="I80" i="4"/>
  <c r="I43" i="4" s="1"/>
  <c r="I240" i="4" s="1"/>
  <c r="H125" i="4"/>
  <c r="H208" i="4" s="1"/>
  <c r="G50" i="4" l="1"/>
  <c r="G61" i="4" s="1"/>
  <c r="G224" i="4" s="1"/>
  <c r="G256" i="4" s="1"/>
  <c r="G276" i="4" s="1"/>
  <c r="G278" i="4" s="1"/>
  <c r="H48" i="4"/>
  <c r="H50" i="4" s="1"/>
  <c r="H61" i="4" s="1"/>
  <c r="H240" i="4"/>
  <c r="F7" i="6"/>
  <c r="F8" i="6" s="1"/>
  <c r="F303" i="4"/>
  <c r="F306" i="4" s="1"/>
  <c r="F309" i="4" s="1"/>
  <c r="F311" i="4" s="1"/>
  <c r="G310" i="4" s="1"/>
  <c r="I48" i="4"/>
  <c r="I13" i="4" s="1"/>
  <c r="F6" i="6"/>
  <c r="F168" i="4"/>
  <c r="F170" i="4" s="1"/>
  <c r="H13" i="4" l="1"/>
  <c r="G63" i="4"/>
  <c r="G198" i="4" s="1"/>
  <c r="I50" i="4"/>
  <c r="I61" i="4" s="1"/>
  <c r="I63" i="4" s="1"/>
  <c r="H63" i="4"/>
  <c r="H198" i="4" s="1"/>
  <c r="H224" i="4"/>
  <c r="H256" i="4" s="1"/>
  <c r="H276" i="4" s="1"/>
  <c r="H278" i="4" s="1"/>
  <c r="F171" i="4"/>
  <c r="F209" i="4" s="1"/>
  <c r="F210" i="4" s="1"/>
  <c r="F120" i="4" s="1"/>
  <c r="F121" i="4" s="1"/>
  <c r="F141" i="4" s="1"/>
  <c r="F217" i="4"/>
  <c r="G64" i="4" l="1"/>
  <c r="G66" i="4" s="1"/>
  <c r="G303" i="4" s="1"/>
  <c r="G306" i="4" s="1"/>
  <c r="G309" i="4" s="1"/>
  <c r="G311" i="4" s="1"/>
  <c r="H310" i="4" s="1"/>
  <c r="I224" i="4"/>
  <c r="I256" i="4" s="1"/>
  <c r="I276" i="4" s="1"/>
  <c r="I278" i="4" s="1"/>
  <c r="H64" i="4"/>
  <c r="H6" i="6" s="1"/>
  <c r="I198" i="4"/>
  <c r="I64" i="4"/>
  <c r="G6" i="6" l="1"/>
  <c r="H66" i="4"/>
  <c r="G7" i="6"/>
  <c r="G8" i="6" s="1"/>
  <c r="G168" i="4"/>
  <c r="G170" i="4" s="1"/>
  <c r="G171" i="4" s="1"/>
  <c r="G209" i="4" s="1"/>
  <c r="G210" i="4" s="1"/>
  <c r="G120" i="4" s="1"/>
  <c r="G121" i="4" s="1"/>
  <c r="G141" i="4" s="1"/>
  <c r="I66" i="4"/>
  <c r="I6" i="6"/>
  <c r="H7" i="6" l="1"/>
  <c r="H8" i="6" s="1"/>
  <c r="H303" i="4"/>
  <c r="H306" i="4" s="1"/>
  <c r="H309" i="4" s="1"/>
  <c r="H311" i="4" s="1"/>
  <c r="I310" i="4" s="1"/>
  <c r="I7" i="6"/>
  <c r="I8" i="6" s="1"/>
  <c r="I303" i="4"/>
  <c r="I306" i="4" s="1"/>
  <c r="I309" i="4" s="1"/>
  <c r="J6" i="6"/>
  <c r="G217" i="4"/>
  <c r="H168" i="4"/>
  <c r="H170" i="4" s="1"/>
  <c r="H217" i="4" s="1"/>
  <c r="C11" i="6" l="1"/>
  <c r="I311" i="4"/>
  <c r="J8" i="6"/>
  <c r="C10" i="6" s="1"/>
  <c r="J7" i="6"/>
  <c r="H171" i="4"/>
  <c r="H209" i="4" s="1"/>
  <c r="H210" i="4" s="1"/>
  <c r="H120" i="4" s="1"/>
  <c r="H121" i="4" s="1"/>
  <c r="H141" i="4" s="1"/>
  <c r="I168" i="4"/>
  <c r="I170" i="4" s="1"/>
  <c r="I217" i="4" s="1"/>
  <c r="C12" i="6"/>
  <c r="C14" i="6" s="1"/>
  <c r="I171" i="4" l="1"/>
  <c r="I209" i="4" s="1"/>
  <c r="I210" i="4" s="1"/>
  <c r="I120" i="4" s="1"/>
  <c r="I121" i="4" s="1"/>
  <c r="I14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<sst xmlns="http://schemas.openxmlformats.org/spreadsheetml/2006/main" count="574" uniqueCount="317">
  <si>
    <t>КОНСОЛИДИРАН БИЛАНС НА УСПЕХ</t>
  </si>
  <si>
    <t>во илјади денари</t>
  </si>
  <si>
    <t>Приходи од камата</t>
  </si>
  <si>
    <t>Расходи за камата</t>
  </si>
  <si>
    <t>Нето-приходи/(расходи) од камата</t>
  </si>
  <si>
    <t>Приходи од провизии и надомести</t>
  </si>
  <si>
    <t>Расходи за провизии и надомести</t>
  </si>
  <si>
    <t>Нето-приходи/(расходи) од провизии и надомести</t>
  </si>
  <si>
    <t>Нето-приходи од тргување</t>
  </si>
  <si>
    <t>Нето-приходи од други финансиски инструменти евидентирани по објективна вредност</t>
  </si>
  <si>
    <t>Удел во добивката на придружените друштва</t>
  </si>
  <si>
    <t>Исправка на вредноста на финансиските средства и посебна резерва за вонбилансната изложеност, на нето-основа</t>
  </si>
  <si>
    <t>Загуба поради оштетување на нефинансиските средства , на нето-основа</t>
  </si>
  <si>
    <t>Трошоци за вработените</t>
  </si>
  <si>
    <t>Амортизација</t>
  </si>
  <si>
    <t>Останати расходи од дејноста</t>
  </si>
  <si>
    <t>Удел во загубата на придружените друштва</t>
  </si>
  <si>
    <t>Добивка/(загуба) пред оданочување</t>
  </si>
  <si>
    <t>Данок на добивка</t>
  </si>
  <si>
    <t>Добивка/(загуба) за финансиската година од непрекинато работење</t>
  </si>
  <si>
    <t>Добивка/(загуба) од група на средства и обврски кои се чуваат за продажба</t>
  </si>
  <si>
    <t>Добивка/(загуба) за финансиската година</t>
  </si>
  <si>
    <t>Добивка/(загуба) за финансиската година, којашто им припаѓа на :</t>
  </si>
  <si>
    <t>акционерите на Банката</t>
  </si>
  <si>
    <t>неконтролираното учество</t>
  </si>
  <si>
    <t>Заработка по акција</t>
  </si>
  <si>
    <t>основна заработка по акција (во денари)</t>
  </si>
  <si>
    <t>разводнета заработка по акција (во денари )</t>
  </si>
  <si>
    <t>КОНСОЛИДИРАН БИЛАНС НА СОСТОЈБА</t>
  </si>
  <si>
    <t>Актива</t>
  </si>
  <si>
    <t>Парични средства и парични еквиваленти</t>
  </si>
  <si>
    <t>Средства за тргување</t>
  </si>
  <si>
    <t>Финансиски средства по објективна вредност преку билансот на успех определени како такви при почетното признавање</t>
  </si>
  <si>
    <t>Дериватни средства чувани за управување со ризик</t>
  </si>
  <si>
    <t>Кредити на и побарувања од банки</t>
  </si>
  <si>
    <t>Кредити на и побарувања од други комитенти</t>
  </si>
  <si>
    <t>Вложувања во хартии од вредност</t>
  </si>
  <si>
    <t>Вложувања во придружени друштва (сметководствено се евидентираат според методот на главнина}</t>
  </si>
  <si>
    <t>Побарувања за данок на добивка (тековен)</t>
  </si>
  <si>
    <t>Останати побарувања</t>
  </si>
  <si>
    <t>Заложени средства</t>
  </si>
  <si>
    <t>Преземени средства врз основа на наплатени побарувања</t>
  </si>
  <si>
    <t>Нематеријални средства</t>
  </si>
  <si>
    <t>Недвижности и опрема</t>
  </si>
  <si>
    <t>Одложени даночни средства</t>
  </si>
  <si>
    <t>Нетековни средства кои се чуваат за продажба и група за отуѓување</t>
  </si>
  <si>
    <t>Вкупна актива</t>
  </si>
  <si>
    <t>Обврски</t>
  </si>
  <si>
    <t>Обврски за тргување</t>
  </si>
  <si>
    <t>Финансиски обврски по објектив на вредност преку билансот на успех определени како такви при почетното признавање</t>
  </si>
  <si>
    <t>Дериватни обврски чувани за управување-со ризик</t>
  </si>
  <si>
    <t>Депозити на банките</t>
  </si>
  <si>
    <t>Депозити на други комитенти</t>
  </si>
  <si>
    <t>34.2</t>
  </si>
  <si>
    <t>Издадени должнички хартии од вредност</t>
  </si>
  <si>
    <t>35</t>
  </si>
  <si>
    <t>Обврски по кредити</t>
  </si>
  <si>
    <t>Субординирани обврски</t>
  </si>
  <si>
    <t>Посебна резерва и резервирања</t>
  </si>
  <si>
    <t>Обврски за данок на добивка (тековен)</t>
  </si>
  <si>
    <t>30.1</t>
  </si>
  <si>
    <t>Одложени даночни обврски</t>
  </si>
  <si>
    <t>Останати обврски</t>
  </si>
  <si>
    <t>Обврски директно поврзани со група на средства за отуѓување</t>
  </si>
  <si>
    <t>Вкупно обврски</t>
  </si>
  <si>
    <t>Капитал и резерви</t>
  </si>
  <si>
    <t>Запишан капитал</t>
  </si>
  <si>
    <t>Премии од акции</t>
  </si>
  <si>
    <t>Сопствени акции</t>
  </si>
  <si>
    <t>Други сопственички инструменти</t>
  </si>
  <si>
    <t>Ревалоризациски резерви</t>
  </si>
  <si>
    <t>Останати резерви</t>
  </si>
  <si>
    <t>Задржана добивка/(Акумулирана загуба)</t>
  </si>
  <si>
    <t>Вкупно капитал и резерви, кои припаѓаат на акционерите на банката</t>
  </si>
  <si>
    <t>Неконтролирано учество</t>
  </si>
  <si>
    <t>Вкупно обврски и капитал и резерви</t>
  </si>
  <si>
    <t>Потенцијални обврски</t>
  </si>
  <si>
    <t>42</t>
  </si>
  <si>
    <t>Потенцијални средства</t>
  </si>
  <si>
    <t>КОНСОЛИДИРАН ИЗВЕШТАЈ ЗА ПАРИЧНИОТ ТЕК</t>
  </si>
  <si>
    <t>белешка</t>
  </si>
  <si>
    <t>Паричен тек од основната дејност</t>
  </si>
  <si>
    <t>Добивка/(загуба) пред оданочувањето</t>
  </si>
  <si>
    <t>Коригирана за:</t>
  </si>
  <si>
    <t>Неконтролирано учество, вклучено во консолидираниот биланс на успех</t>
  </si>
  <si>
    <t>Амортизацијата на:</t>
  </si>
  <si>
    <t>нематеријални средства</t>
  </si>
  <si>
    <t>15/28</t>
  </si>
  <si>
    <t>недвижности и опрема</t>
  </si>
  <si>
    <t>15/29</t>
  </si>
  <si>
    <t>Капиталната добивка од:</t>
  </si>
  <si>
    <t xml:space="preserve">продажба на нематеријални средства </t>
  </si>
  <si>
    <t>продажба на недвижности и опрема</t>
  </si>
  <si>
    <t>11</t>
  </si>
  <si>
    <t>продажба на преземени средства врз основа на ненаплатени побарувања</t>
  </si>
  <si>
    <t xml:space="preserve">Капиталната загуба од: </t>
  </si>
  <si>
    <t>продажба на нематеријални средства</t>
  </si>
  <si>
    <t>16</t>
  </si>
  <si>
    <t>6</t>
  </si>
  <si>
    <t>8</t>
  </si>
  <si>
    <t>12</t>
  </si>
  <si>
    <t>дополнителна исправка на вредноста и посебна резерва</t>
  </si>
  <si>
    <t xml:space="preserve">ослободена исправка на вредноста и посебна резерва </t>
  </si>
  <si>
    <t>загуба поради оштетување на нефинансиските средства, на нето основа</t>
  </si>
  <si>
    <t>дополнителни загуби поради оштетување</t>
  </si>
  <si>
    <t>13</t>
  </si>
  <si>
    <t>ослободени загуби поради оштетување</t>
  </si>
  <si>
    <t>Резервирања</t>
  </si>
  <si>
    <t>дополнителни резервирања</t>
  </si>
  <si>
    <t>38</t>
  </si>
  <si>
    <t>ослободени резервирања</t>
  </si>
  <si>
    <t>Приходи од дивиденди</t>
  </si>
  <si>
    <t xml:space="preserve">Останати корекции </t>
  </si>
  <si>
    <t>Наплатени камати</t>
  </si>
  <si>
    <t xml:space="preserve">Платени камати </t>
  </si>
  <si>
    <t>Добивка од дејноста пред промените во деловната актива</t>
  </si>
  <si>
    <t>(Зголемување)/намалување на деловната актива:</t>
  </si>
  <si>
    <t xml:space="preserve">Кредити на и побарувања од банки </t>
  </si>
  <si>
    <t xml:space="preserve">Кредити на и побарувања од други комитенти </t>
  </si>
  <si>
    <t xml:space="preserve">Преземени средства врз основа на ненаплатени побарувања </t>
  </si>
  <si>
    <t xml:space="preserve">Задолжителна резерва во странска валута </t>
  </si>
  <si>
    <t>Задолжителен депозит во НБРСМ според посебни прописи</t>
  </si>
  <si>
    <t xml:space="preserve">Останати побарувања </t>
  </si>
  <si>
    <t>31</t>
  </si>
  <si>
    <t>Зголемување/(намалување) на деловните обврски:</t>
  </si>
  <si>
    <t>Дериватни обврски чувани за управување со ризик</t>
  </si>
  <si>
    <t>Депозити на банки</t>
  </si>
  <si>
    <t>Нето паричен тек од основната дејност пред оданочувањето</t>
  </si>
  <si>
    <t>(Платен)/поврат на данок на добивка</t>
  </si>
  <si>
    <t>Нето паричен тек од основната дејност</t>
  </si>
  <si>
    <t>Паричен тек од инвестициската дејност</t>
  </si>
  <si>
    <t>(Вложувања во хартии од вредност)</t>
  </si>
  <si>
    <t>Приливи од продажбата на вложувањата во хартии од вредност</t>
  </si>
  <si>
    <t>(Одливи за вложувањата во подружници и придружени друштва)</t>
  </si>
  <si>
    <t>Приnиви од продажбата на вложувањата во подружници и придружени друштва</t>
  </si>
  <si>
    <t>(Набавка на нематеријални средства)</t>
  </si>
  <si>
    <t>Приливи од продажбата на нематеријалните средства</t>
  </si>
  <si>
    <t>(Набавка на недвижности и опрема)</t>
  </si>
  <si>
    <t>Приливи од продажбата на недвижностите и опремата</t>
  </si>
  <si>
    <t>(Одливи за нетековните средства кои се чуваат за продажба}</t>
  </si>
  <si>
    <t>Приливи од нетековните средства кои се чуваат за продажба</t>
  </si>
  <si>
    <t>(Останати одливи од инвестициската дејност}</t>
  </si>
  <si>
    <t>Останати приливи од инвестициската дејност</t>
  </si>
  <si>
    <t>Нето паричен тек од инвестициската дејност</t>
  </si>
  <si>
    <t>Паричен тек од финансирањето</t>
  </si>
  <si>
    <t>(Отплата на издадените должнички хартии од вредност)</t>
  </si>
  <si>
    <t>Приnиви од издадените должнички хартии од вредност</t>
  </si>
  <si>
    <t>(Отплата на обврските по кредити)</t>
  </si>
  <si>
    <t>Зголемување на обврските по кредити</t>
  </si>
  <si>
    <t>(Oтелaтa на издадените субординирани обврски)</t>
  </si>
  <si>
    <t>Приливи од издадените субординирани обврски</t>
  </si>
  <si>
    <t>Приnиви од издадените акции/сопственички инструменти во текот на периодот</t>
  </si>
  <si>
    <t>(Откуп на сопствени акции)</t>
  </si>
  <si>
    <t>Продадени сопствени акции</t>
  </si>
  <si>
    <t>(Платени дивиденди)</t>
  </si>
  <si>
    <t>(Останати одливи од финансирањето)</t>
  </si>
  <si>
    <t>Нето паричен тек од финансирањето</t>
  </si>
  <si>
    <t>Ефект од исправката на вредноста на паричните средства и паричните еквиваленти</t>
  </si>
  <si>
    <t>Ефект од курсните разлики на nпаричните средства и паричните еквиваленти</t>
  </si>
  <si>
    <t>Нето-зголемување/(намалување) на паричните средства и паричните еквиваленти</t>
  </si>
  <si>
    <t>Парични средства и парични еквиваленти на 1 јануари</t>
  </si>
  <si>
    <t>Парични средства и парични еквиваленти на 31 декември</t>
  </si>
  <si>
    <t>Нето приходи од камата</t>
  </si>
  <si>
    <t>Депозити од клиенти</t>
  </si>
  <si>
    <t>Кредити кон клиенти</t>
  </si>
  <si>
    <t>Капитал</t>
  </si>
  <si>
    <t>Вкупна средства</t>
  </si>
  <si>
    <t>Задржана добивка</t>
  </si>
  <si>
    <t>Вкупни обврски</t>
  </si>
  <si>
    <t>Депрецијација и Амортизација</t>
  </si>
  <si>
    <t>Промена во обртни средства</t>
  </si>
  <si>
    <t>Исплатени дивиденди</t>
  </si>
  <si>
    <t>Готовина од оперативни активности</t>
  </si>
  <si>
    <t>Промена во готовина</t>
  </si>
  <si>
    <t>Ставка</t>
  </si>
  <si>
    <t>Останати приливи од финансирањето</t>
  </si>
  <si>
    <t>Останати приходи од дејноста</t>
  </si>
  <si>
    <t>Цена на капитал</t>
  </si>
  <si>
    <t>Раст на депозити</t>
  </si>
  <si>
    <t>Каматна стапка на депозити</t>
  </si>
  <si>
    <t>Раст на приходи од провизии и надоместоци</t>
  </si>
  <si>
    <t>Сооднос на исплата на дивиденда</t>
  </si>
  <si>
    <t>Нето-приходи/(расходи) од курсни разлики</t>
  </si>
  <si>
    <t>Сооднос помеѓу трошоци и приходи</t>
  </si>
  <si>
    <t>Терминална стапка на раст*</t>
  </si>
  <si>
    <t>*ДЗС, 04.03.2025</t>
  </si>
  <si>
    <t>Weighted Avreage Cost of Capital (WACC)</t>
  </si>
  <si>
    <t>Equity</t>
  </si>
  <si>
    <t>D/(D+E)</t>
  </si>
  <si>
    <t>E/(D+E)</t>
  </si>
  <si>
    <t>WACC</t>
  </si>
  <si>
    <t>*Претпоставка (недостаток на податоци)</t>
  </si>
  <si>
    <t>ИНПУТИ</t>
  </si>
  <si>
    <t>ПРЕТПОСТАВКИ</t>
  </si>
  <si>
    <t>Ефективна даночна стапка</t>
  </si>
  <si>
    <t>ДОПОЛНИТЕЛНИ ПРЕТПОСТАВКИ</t>
  </si>
  <si>
    <t>Вкупни кредити</t>
  </si>
  <si>
    <t>Останати оперативни приходи</t>
  </si>
  <si>
    <t>Оперативни расходи</t>
  </si>
  <si>
    <t>Даноци</t>
  </si>
  <si>
    <t>Нето добивка/(загуба) по оданочување</t>
  </si>
  <si>
    <t>Нето добивка/(загуба) пред оданочување</t>
  </si>
  <si>
    <t>Вкупна оперативна добивка/(загуба)</t>
  </si>
  <si>
    <t>Резервации за кредитна загуба</t>
  </si>
  <si>
    <t>Година</t>
  </si>
  <si>
    <t>Сегашна вредност на дивиденди</t>
  </si>
  <si>
    <t>Терминална вредност на дивиденди</t>
  </si>
  <si>
    <t>Период</t>
  </si>
  <si>
    <t>Цена по акција</t>
  </si>
  <si>
    <t>МОДЕЛ НА ДИСКОНТИРАНИ ДИВИДЕНДИ</t>
  </si>
  <si>
    <t>Број на акции</t>
  </si>
  <si>
    <t>Долгови</t>
  </si>
  <si>
    <t>Цена на долг</t>
  </si>
  <si>
    <t>Даночна стапка</t>
  </si>
  <si>
    <t>Цена на долг по оданучување</t>
  </si>
  <si>
    <t>Без ризична стапка (ECB 10-yr Gov. Bond)</t>
  </si>
  <si>
    <t>Очекуван пазарен поврат</t>
  </si>
  <si>
    <t>Пазарен премиум на ризик</t>
  </si>
  <si>
    <t>Beta</t>
  </si>
  <si>
    <t>Цена на берза 23.04.2025</t>
  </si>
  <si>
    <t>Вкупно</t>
  </si>
  <si>
    <t>Вкупна вредност на капитал</t>
  </si>
  <si>
    <t>Вкупна сегашна вредност на дивиденди</t>
  </si>
  <si>
    <t>АКТИВА:</t>
  </si>
  <si>
    <t>Данок и останати побарувања</t>
  </si>
  <si>
    <t>Обезбедување и преземени средства</t>
  </si>
  <si>
    <t>Фиксни и нематеријални средства</t>
  </si>
  <si>
    <t>ОБВРСКИ:</t>
  </si>
  <si>
    <t>Тргувачки и дериватни обврски</t>
  </si>
  <si>
    <t>Тргувачки и дериватни средства</t>
  </si>
  <si>
    <t>Издадени долгови и позајмици</t>
  </si>
  <si>
    <t>Даночни обврски</t>
  </si>
  <si>
    <t>Вкупно капитал и резерви</t>
  </si>
  <si>
    <t>КАПИТАЛ И РЕЗЕРВИ:</t>
  </si>
  <si>
    <t>ВКУПНА АКТИВА</t>
  </si>
  <si>
    <t>ВКУПНО ОБВРСКИ</t>
  </si>
  <si>
    <t>ВКУПНО ОБВРСКИ И КАПИТАЛ И РЕЗЕРВИ</t>
  </si>
  <si>
    <t>Парични средства и парични еквиваленти за балансирање</t>
  </si>
  <si>
    <t>Вкупна актива без парични средства и парични еквиваленти</t>
  </si>
  <si>
    <t>Балансер за парични средства и парични еквиваленти</t>
  </si>
  <si>
    <t>Вкупна актива - Вкупно обврски и капитал и резерви</t>
  </si>
  <si>
    <t>YoY Раст на останати резерви</t>
  </si>
  <si>
    <t>Оперативни приходи</t>
  </si>
  <si>
    <t>Вкупни депозити</t>
  </si>
  <si>
    <t>CAR</t>
  </si>
  <si>
    <t>LDR</t>
  </si>
  <si>
    <t>Парични средства и парични еквивалнти</t>
  </si>
  <si>
    <t>YoY раст на оперативни трошоци</t>
  </si>
  <si>
    <t>YoY промена во обврски за данок на добивка (тековен)</t>
  </si>
  <si>
    <t>Белешка</t>
  </si>
  <si>
    <t>*Даночни ослободувања</t>
  </si>
  <si>
    <t>*Отфрлено</t>
  </si>
  <si>
    <t>Каматна стапка на кредити</t>
  </si>
  <si>
    <t>Раст на кредити</t>
  </si>
  <si>
    <t>Нето приход од камати</t>
  </si>
  <si>
    <t>Нето маржа на каматен приход</t>
  </si>
  <si>
    <t>КОНЦЕНТРАЦИЈА НА КРЕДИТЕН РИЗИК ПО СЕКТОРИ И ДЕЈНОСТИ</t>
  </si>
  <si>
    <t>Вложувања во финансиски средствa расположливи за продажба</t>
  </si>
  <si>
    <t>Вложувања во финансиски средства кои се чуваат до достасување</t>
  </si>
  <si>
    <t>Побарувања за провизии и надомести</t>
  </si>
  <si>
    <t>Вонбилансни изложености</t>
  </si>
  <si>
    <t>Индустриска гранка</t>
  </si>
  <si>
    <t>Нерезидентни</t>
  </si>
  <si>
    <t>Земјоделство, шумарство и рибарство</t>
  </si>
  <si>
    <t>Рударство и вадење на камен</t>
  </si>
  <si>
    <t>Прехранбена индустрија</t>
  </si>
  <si>
    <t>Текстилна индустрија и производство на облека и обувки</t>
  </si>
  <si>
    <t>Хемиска индустрија, производство на градежни материјали, производство и преработка на горива, фармацевтска индустрија</t>
  </si>
  <si>
    <t>Производство на метали, машини, алати и опрема</t>
  </si>
  <si>
    <t>Останата преработувачка индустрија</t>
  </si>
  <si>
    <t>Снабдување со електрична енергија, гас, пареа и климатизација</t>
  </si>
  <si>
    <t>Снабдување со вода, отстранување на отпадни води, управување со отпади дејности за санација на околината</t>
  </si>
  <si>
    <t>Градежништво</t>
  </si>
  <si>
    <t>Трговија на големо и трговија на мало, поправка на моторни возила и мотоцикли</t>
  </si>
  <si>
    <t>Транспорт и складирање</t>
  </si>
  <si>
    <t>Објекти за сместување и сервисни дејности со храна</t>
  </si>
  <si>
    <t>Информации и комуникации</t>
  </si>
  <si>
    <t>Финансиски дејности и дејности на осигурување</t>
  </si>
  <si>
    <t>Дејности во врска со недвижен имот</t>
  </si>
  <si>
    <t>Стручни, научни и технички дејности</t>
  </si>
  <si>
    <t>Административни и помошни услужни дејности</t>
  </si>
  <si>
    <t>Јавна управа и одбрана, задолжително социјално осигурување</t>
  </si>
  <si>
    <t>Образование</t>
  </si>
  <si>
    <t>Дејности на здравствена и социјална заштита</t>
  </si>
  <si>
    <t>Уметност, забава и рекреација</t>
  </si>
  <si>
    <t>Други услужни дејности</t>
  </si>
  <si>
    <t>Дејности на домаќинствата како работодавачи, дејности на домаќинствата кои произведуваат разновидна стока и вршат различни услуги за сопствени потреби</t>
  </si>
  <si>
    <t>Дејности на екстериторијални организации и тела</t>
  </si>
  <si>
    <t>Физички лица</t>
  </si>
  <si>
    <t>Трговци поединци и физички лица кои не се сметаат за трговци</t>
  </si>
  <si>
    <t>Проверка Вкупно</t>
  </si>
  <si>
    <t>АНАЛИЗА НА ВКУПНАТА ИЗЛОЖЕНОСТ НА КРЕДИТЕН РИЗИК</t>
  </si>
  <si>
    <t>Вложувања во финансиски средства расположливи за продажба</t>
  </si>
  <si>
    <t>Изложеност на кредитен ризик, класификувана во Групата 1</t>
  </si>
  <si>
    <t>Сметководствена вредност, пред исправка на вредноста/посебна резерва</t>
  </si>
  <si>
    <t>-</t>
  </si>
  <si>
    <t>(Исправка на вредноста и посебна резерва)</t>
  </si>
  <si>
    <t>Сметководствена вредност, намалена за исправката на вредноста и посебната резерва</t>
  </si>
  <si>
    <t>Изложеност на кредитен ризик, класификувана во Групата 2</t>
  </si>
  <si>
    <r>
      <rPr>
        <b/>
        <sz val="9"/>
        <rFont val="Arial Nova"/>
        <family val="2"/>
      </rPr>
      <t>Изложеност на кредитен ризик,
класификувана во Групата 3</t>
    </r>
  </si>
  <si>
    <r>
      <rPr>
        <b/>
        <sz val="9"/>
        <rFont val="Arial Nova"/>
        <family val="2"/>
      </rPr>
      <t>Вкупна
сметководствена вредност на
побарувања со кредитен ризик
пред исправката на вредноста и
посебната резерва</t>
    </r>
  </si>
  <si>
    <r>
      <rPr>
        <b/>
        <sz val="9"/>
        <rFont val="Arial Nova"/>
        <family val="2"/>
      </rPr>
      <t>(Вкупна исправка на вредноста и
посебна резерва)</t>
    </r>
  </si>
  <si>
    <t>Вкупна сметководствена вредност на побарувања со кредитен ризик намалена за исправката на вредноста и посебната резерва</t>
  </si>
  <si>
    <t>Изложеност на нефукнционални кредити</t>
  </si>
  <si>
    <t>Стапка на резервирање</t>
  </si>
  <si>
    <t>Изложеност на кредитен ризик, класификувана во Групата 3</t>
  </si>
  <si>
    <t>Резерви</t>
  </si>
  <si>
    <t>Инфлација**</t>
  </si>
  <si>
    <t>**НБРМ 24.04.2025</t>
  </si>
  <si>
    <t>Паричен тек од основната дејност:</t>
  </si>
  <si>
    <t>Покриеност на нефункционални кредити</t>
  </si>
  <si>
    <t>Балансер за разлика помеѓу пријавено зголемување/(намалување) на кредити на и побарувања од банки и зголемување/(намалување) од биланс на состојба</t>
  </si>
  <si>
    <t>Пријавено зголемување/(намалување) кредити на и побарувања од банки</t>
  </si>
  <si>
    <t>Балансер за разлика помеѓу пријавено зголемување/(намалување) на кредити на и побарувања од други комитенти и зголемување/(намалување) од биланс на состојба</t>
  </si>
  <si>
    <t>Актуелно зголемување/(намалување) кредити на и од други комитенти</t>
  </si>
  <si>
    <t>Актуелно зголемување/(намалување) кредити на и побарувања од банки</t>
  </si>
  <si>
    <t>Загуба поради оштетување на нефинансиските средства, на нето основа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</si>
</sst>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_)\ _€_ ;_ * \(#,##0\)\ _€_ ;_ * &quot;-&quot;_)\ _€_ ;_ @_ "/>
    <numFmt numFmtId="165" formatCode="0.0%"/>
    <numFmt numFmtId="166" formatCode="0.0000%"/>
    <numFmt numFmtId="167" formatCode="0.000%"/>
    <numFmt numFmtId="168" formatCode="yyyy\ \A"/>
    <numFmt numFmtId="169" formatCode="_ * #,##0.00_)\ _€_ ;_ * \(#,##0.00\)\ _€_ ;_ * &quot;-&quot;??_)\ _€_ ;_ @_ "/>
    <numFmt numFmtId="170" formatCode="_ * #,##0.000_)\ _€_ ;_ * \(#,##0.000\)\ _€_ ;_ * &quot;-&quot;_)\ _€_ ;_ @_ "/>
    <numFmt numFmtId="171" formatCode="yyyy\ \F"/>
  </numFmts>
  <fonts count="20" x14ac:knownFonts="1">
    <font>
      <sz val="9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9"/>
      <color theme="1"/>
      <name val="Arial Nova"/>
      <family val="2"/>
    </font>
    <font>
      <sz val="9"/>
      <color theme="1"/>
      <name val="Arial Nova"/>
      <family val="2"/>
    </font>
    <font>
      <b/>
      <sz val="9"/>
      <color theme="0" tint="-4.9989318521683403E-2"/>
      <name val="Arial Nova"/>
      <family val="2"/>
    </font>
    <font>
      <sz val="9"/>
      <name val="Arial Nova"/>
      <family val="2"/>
    </font>
    <font>
      <i/>
      <sz val="9"/>
      <name val="Arial Nova"/>
      <family val="2"/>
    </font>
    <font>
      <b/>
      <sz val="9"/>
      <name val="Arial Nova"/>
      <family val="2"/>
    </font>
    <font>
      <sz val="9"/>
      <color theme="0" tint="-4.9989318521683403E-2"/>
      <name val="Arial Nova"/>
      <family val="2"/>
    </font>
    <font>
      <b/>
      <sz val="9"/>
      <color theme="8"/>
      <name val="Arial Nova"/>
      <family val="2"/>
    </font>
    <font>
      <sz val="9"/>
      <color theme="8"/>
      <name val="Arial Nova"/>
      <family val="2"/>
    </font>
    <font>
      <sz val="9"/>
      <color theme="4"/>
      <name val="Arial Nova"/>
      <family val="2"/>
    </font>
    <font>
      <b/>
      <sz val="9"/>
      <color theme="4"/>
      <name val="Arial Nova"/>
      <family val="2"/>
    </font>
    <font>
      <sz val="9"/>
      <color theme="9"/>
      <name val="Arial Nova"/>
      <family val="2"/>
    </font>
    <font>
      <b/>
      <i/>
      <sz val="9"/>
      <name val="Arial Nova"/>
      <family val="2"/>
    </font>
    <font>
      <b/>
      <sz val="9"/>
      <color rgb="FFF2F2F2"/>
      <name val="Arial Nova"/>
      <family val="2"/>
    </font>
    <font>
      <sz val="9"/>
      <color rgb="FF000000"/>
      <name val="Arial Nova"/>
      <family val="2"/>
    </font>
    <font>
      <b/>
      <sz val="9"/>
      <color rgb="FF000000"/>
      <name val="Arial Nova"/>
      <family val="2"/>
    </font>
    <font>
      <sz val="9"/>
      <color rgb="FFFF0000"/>
      <name val="Arial Nova"/>
      <family val="2"/>
    </font>
    <font>
      <sz val="9"/>
      <color rgb="FFC00000"/>
      <name val="Arial Nova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1DDDC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theme="4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67">
    <xf numFmtId="0" fontId="0" fillId="0" borderId="0" xfId="0"/>
    <xf numFmtId="0" fontId="3" fillId="0" borderId="0" xfId="1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3" fillId="0" borderId="0" xfId="0" applyFont="1"/>
    <xf numFmtId="0" fontId="6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1" fontId="7" fillId="0" borderId="6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right" vertical="center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6" xfId="0" applyNumberFormat="1" applyFont="1" applyFill="1" applyBorder="1" applyAlignment="1">
      <alignment horizontal="right" vertical="center"/>
    </xf>
    <xf numFmtId="1" fontId="7" fillId="0" borderId="6" xfId="0" applyNumberFormat="1" applyFont="1" applyBorder="1" applyAlignment="1">
      <alignment horizontal="center" vertical="center" shrinkToFit="1"/>
    </xf>
    <xf numFmtId="164" fontId="7" fillId="0" borderId="5" xfId="0" applyNumberFormat="1" applyFont="1" applyBorder="1" applyAlignment="1">
      <alignment horizontal="right" vertical="center"/>
    </xf>
    <xf numFmtId="164" fontId="7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7" fillId="0" borderId="9" xfId="0" applyNumberFormat="1" applyFont="1" applyBorder="1" applyAlignment="1">
      <alignment horizontal="right" vertical="center"/>
    </xf>
    <xf numFmtId="164" fontId="7" fillId="0" borderId="10" xfId="0" applyNumberFormat="1" applyFont="1" applyBorder="1" applyAlignment="1">
      <alignment horizontal="right" vertical="center"/>
    </xf>
    <xf numFmtId="164" fontId="5" fillId="0" borderId="6" xfId="0" applyNumberFormat="1" applyFont="1" applyBorder="1" applyAlignment="1">
      <alignment horizontal="right" vertical="center"/>
    </xf>
    <xf numFmtId="164" fontId="5" fillId="0" borderId="7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wrapText="1" indent="1"/>
    </xf>
    <xf numFmtId="164" fontId="5" fillId="3" borderId="1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4" fontId="5" fillId="3" borderId="14" xfId="0" applyNumberFormat="1" applyFont="1" applyFill="1" applyBorder="1" applyAlignment="1">
      <alignment horizontal="right" vertical="center"/>
    </xf>
    <xf numFmtId="1" fontId="7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Continuous" vertical="top"/>
    </xf>
    <xf numFmtId="0" fontId="5" fillId="0" borderId="15" xfId="0" applyFont="1" applyBorder="1" applyAlignment="1">
      <alignment horizontal="centerContinuous" vertical="top"/>
    </xf>
    <xf numFmtId="0" fontId="5" fillId="0" borderId="3" xfId="0" applyFont="1" applyBorder="1" applyAlignment="1">
      <alignment horizontal="centerContinuous" vertical="top"/>
    </xf>
    <xf numFmtId="14" fontId="5" fillId="0" borderId="5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vertical="top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49" fontId="7" fillId="0" borderId="6" xfId="0" applyNumberFormat="1" applyFont="1" applyBorder="1" applyAlignment="1">
      <alignment horizontal="center" shrinkToFit="1"/>
    </xf>
    <xf numFmtId="49" fontId="7" fillId="0" borderId="6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right" vertical="center"/>
    </xf>
    <xf numFmtId="164" fontId="7" fillId="0" borderId="12" xfId="0" applyNumberFormat="1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center" wrapText="1"/>
    </xf>
    <xf numFmtId="164" fontId="5" fillId="3" borderId="5" xfId="0" applyNumberFormat="1" applyFont="1" applyFill="1" applyBorder="1" applyAlignment="1">
      <alignment horizontal="right" vertical="center"/>
    </xf>
    <xf numFmtId="164" fontId="5" fillId="3" borderId="3" xfId="0" applyNumberFormat="1" applyFont="1" applyFill="1" applyBorder="1" applyAlignment="1">
      <alignment horizontal="right" vertical="center"/>
    </xf>
    <xf numFmtId="49" fontId="7" fillId="0" borderId="4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Continuous"/>
    </xf>
    <xf numFmtId="0" fontId="3" fillId="0" borderId="16" xfId="0" applyFont="1" applyBorder="1" applyAlignment="1">
      <alignment horizontal="centerContinuous"/>
    </xf>
    <xf numFmtId="0" fontId="3" fillId="0" borderId="12" xfId="0" applyFont="1" applyBorder="1" applyAlignment="1">
      <alignment horizontal="centerContinuous"/>
    </xf>
    <xf numFmtId="49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164" fontId="2" fillId="3" borderId="17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49" fontId="2" fillId="0" borderId="6" xfId="0" applyNumberFormat="1" applyFont="1" applyBorder="1"/>
    <xf numFmtId="164" fontId="3" fillId="3" borderId="17" xfId="0" applyNumberFormat="1" applyFont="1" applyFill="1" applyBorder="1" applyAlignment="1">
      <alignment horizontal="right" vertical="center"/>
    </xf>
    <xf numFmtId="164" fontId="3" fillId="3" borderId="6" xfId="0" applyNumberFormat="1" applyFont="1" applyFill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right" vertical="center"/>
    </xf>
    <xf numFmtId="49" fontId="3" fillId="0" borderId="6" xfId="0" applyNumberFormat="1" applyFont="1" applyBorder="1"/>
    <xf numFmtId="164" fontId="3" fillId="3" borderId="2" xfId="0" applyNumberFormat="1" applyFont="1" applyFill="1" applyBorder="1" applyAlignment="1">
      <alignment horizontal="right" vertical="center"/>
    </xf>
    <xf numFmtId="164" fontId="3" fillId="3" borderId="5" xfId="0" applyNumberFormat="1" applyFont="1" applyFill="1" applyBorder="1" applyAlignment="1">
      <alignment horizontal="right" vertical="center"/>
    </xf>
    <xf numFmtId="49" fontId="2" fillId="0" borderId="4" xfId="0" applyNumberFormat="1" applyFont="1" applyBorder="1"/>
    <xf numFmtId="0" fontId="3" fillId="0" borderId="0" xfId="0" applyFont="1" applyAlignment="1">
      <alignment horizontal="left" wrapText="1"/>
    </xf>
    <xf numFmtId="164" fontId="3" fillId="0" borderId="0" xfId="1" applyNumberFormat="1" applyFont="1" applyAlignment="1">
      <alignment horizontal="right" vertical="center"/>
    </xf>
    <xf numFmtId="0" fontId="3" fillId="0" borderId="15" xfId="1" applyFont="1" applyBorder="1"/>
    <xf numFmtId="164" fontId="3" fillId="0" borderId="1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3" fillId="0" borderId="4" xfId="1" applyNumberFormat="1" applyFont="1" applyBorder="1" applyAlignment="1">
      <alignment horizontal="right" vertical="center"/>
    </xf>
    <xf numFmtId="0" fontId="2" fillId="0" borderId="2" xfId="1" applyFont="1" applyBorder="1"/>
    <xf numFmtId="0" fontId="2" fillId="0" borderId="5" xfId="1" applyFont="1" applyBorder="1"/>
    <xf numFmtId="0" fontId="2" fillId="0" borderId="11" xfId="1" applyFont="1" applyBorder="1"/>
    <xf numFmtId="0" fontId="2" fillId="0" borderId="17" xfId="1" applyFont="1" applyBorder="1"/>
    <xf numFmtId="0" fontId="2" fillId="0" borderId="13" xfId="1" applyFont="1" applyBorder="1"/>
    <xf numFmtId="49" fontId="3" fillId="0" borderId="0" xfId="1" applyNumberFormat="1" applyFont="1"/>
    <xf numFmtId="10" fontId="3" fillId="0" borderId="0" xfId="1" applyNumberFormat="1" applyFont="1"/>
    <xf numFmtId="0" fontId="8" fillId="4" borderId="0" xfId="1" applyFont="1" applyFill="1" applyAlignment="1">
      <alignment horizontal="centerContinuous"/>
    </xf>
    <xf numFmtId="37" fontId="3" fillId="0" borderId="0" xfId="1" applyNumberFormat="1" applyFont="1"/>
    <xf numFmtId="3" fontId="0" fillId="0" borderId="15" xfId="0" applyNumberFormat="1" applyBorder="1"/>
    <xf numFmtId="2" fontId="3" fillId="0" borderId="0" xfId="1" applyNumberFormat="1" applyFont="1"/>
    <xf numFmtId="37" fontId="3" fillId="0" borderId="15" xfId="1" applyNumberFormat="1" applyFont="1" applyBorder="1"/>
    <xf numFmtId="165" fontId="3" fillId="0" borderId="0" xfId="1" applyNumberFormat="1" applyFont="1"/>
    <xf numFmtId="166" fontId="3" fillId="0" borderId="0" xfId="1" applyNumberFormat="1" applyFont="1"/>
    <xf numFmtId="0" fontId="2" fillId="0" borderId="15" xfId="1" applyFont="1" applyBorder="1"/>
    <xf numFmtId="10" fontId="2" fillId="0" borderId="15" xfId="1" applyNumberFormat="1" applyFont="1" applyBorder="1"/>
    <xf numFmtId="167" fontId="3" fillId="0" borderId="0" xfId="1" applyNumberFormat="1" applyFont="1"/>
    <xf numFmtId="0" fontId="2" fillId="5" borderId="15" xfId="1" applyFont="1" applyFill="1" applyBorder="1"/>
    <xf numFmtId="10" fontId="2" fillId="5" borderId="15" xfId="1" applyNumberFormat="1" applyFont="1" applyFill="1" applyBorder="1"/>
    <xf numFmtId="0" fontId="4" fillId="0" borderId="0" xfId="0" applyFont="1" applyAlignment="1">
      <alignment horizontal="centerContinuous"/>
    </xf>
    <xf numFmtId="14" fontId="3" fillId="0" borderId="0" xfId="1" applyNumberFormat="1" applyFont="1"/>
    <xf numFmtId="0" fontId="3" fillId="0" borderId="0" xfId="1" applyFont="1" applyAlignment="1">
      <alignment wrapText="1"/>
    </xf>
    <xf numFmtId="168" fontId="5" fillId="0" borderId="5" xfId="0" applyNumberFormat="1" applyFont="1" applyBorder="1" applyAlignment="1">
      <alignment horizontal="center" vertical="center"/>
    </xf>
    <xf numFmtId="164" fontId="3" fillId="0" borderId="0" xfId="1" applyNumberFormat="1" applyFont="1"/>
    <xf numFmtId="164" fontId="10" fillId="3" borderId="1" xfId="0" applyNumberFormat="1" applyFont="1" applyFill="1" applyBorder="1" applyAlignment="1">
      <alignment horizontal="right" vertical="center"/>
    </xf>
    <xf numFmtId="164" fontId="10" fillId="3" borderId="6" xfId="0" applyNumberFormat="1" applyFont="1" applyFill="1" applyBorder="1" applyAlignment="1">
      <alignment horizontal="right" vertical="center"/>
    </xf>
    <xf numFmtId="164" fontId="9" fillId="0" borderId="5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Font="1"/>
    <xf numFmtId="164" fontId="7" fillId="0" borderId="0" xfId="0" applyNumberFormat="1" applyFont="1" applyAlignment="1">
      <alignment horizontal="right" vertical="center"/>
    </xf>
    <xf numFmtId="169" fontId="3" fillId="0" borderId="0" xfId="1" applyNumberFormat="1" applyFont="1"/>
    <xf numFmtId="0" fontId="5" fillId="0" borderId="15" xfId="0" applyFont="1" applyBorder="1" applyAlignment="1">
      <alignment horizontal="centerContinuous" vertical="center"/>
    </xf>
    <xf numFmtId="0" fontId="3" fillId="0" borderId="15" xfId="0" applyFont="1" applyBorder="1" applyAlignment="1">
      <alignment horizontal="centerContinuous" vertical="center"/>
    </xf>
    <xf numFmtId="164" fontId="9" fillId="3" borderId="6" xfId="0" applyNumberFormat="1" applyFont="1" applyFill="1" applyBorder="1" applyAlignment="1">
      <alignment horizontal="right" vertical="center"/>
    </xf>
    <xf numFmtId="164" fontId="7" fillId="3" borderId="6" xfId="0" applyNumberFormat="1" applyFont="1" applyFill="1" applyBorder="1" applyAlignment="1">
      <alignment horizontal="right" vertical="center"/>
    </xf>
    <xf numFmtId="164" fontId="10" fillId="0" borderId="6" xfId="0" applyNumberFormat="1" applyFont="1" applyBorder="1" applyAlignment="1">
      <alignment horizontal="right" vertical="center"/>
    </xf>
    <xf numFmtId="164" fontId="3" fillId="3" borderId="6" xfId="1" applyNumberFormat="1" applyFont="1" applyFill="1" applyBorder="1"/>
    <xf numFmtId="164" fontId="11" fillId="3" borderId="6" xfId="1" applyNumberFormat="1" applyFont="1" applyFill="1" applyBorder="1"/>
    <xf numFmtId="164" fontId="12" fillId="0" borderId="5" xfId="1" applyNumberFormat="1" applyFont="1" applyBorder="1"/>
    <xf numFmtId="0" fontId="3" fillId="0" borderId="19" xfId="1" applyFont="1" applyBorder="1"/>
    <xf numFmtId="168" fontId="5" fillId="0" borderId="1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center" vertical="center"/>
    </xf>
    <xf numFmtId="0" fontId="3" fillId="0" borderId="16" xfId="1" applyFont="1" applyBorder="1"/>
    <xf numFmtId="164" fontId="10" fillId="0" borderId="16" xfId="1" applyNumberFormat="1" applyFont="1" applyBorder="1"/>
    <xf numFmtId="164" fontId="3" fillId="0" borderId="16" xfId="1" applyNumberFormat="1" applyFont="1" applyBorder="1"/>
    <xf numFmtId="10" fontId="3" fillId="0" borderId="19" xfId="1" applyNumberFormat="1" applyFont="1" applyBorder="1"/>
    <xf numFmtId="0" fontId="3" fillId="0" borderId="16" xfId="1" applyFont="1" applyBorder="1" applyAlignment="1">
      <alignment wrapText="1"/>
    </xf>
    <xf numFmtId="0" fontId="3" fillId="0" borderId="19" xfId="1" applyFont="1" applyBorder="1" applyAlignment="1">
      <alignment wrapText="1"/>
    </xf>
    <xf numFmtId="164" fontId="3" fillId="0" borderId="15" xfId="1" applyNumberFormat="1" applyFont="1" applyBorder="1"/>
    <xf numFmtId="164" fontId="10" fillId="0" borderId="0" xfId="1" applyNumberFormat="1" applyFont="1"/>
    <xf numFmtId="164" fontId="12" fillId="0" borderId="0" xfId="1" applyNumberFormat="1" applyFont="1"/>
    <xf numFmtId="168" fontId="5" fillId="0" borderId="19" xfId="0" applyNumberFormat="1" applyFont="1" applyBorder="1" applyAlignment="1">
      <alignment horizontal="center" vertical="center"/>
    </xf>
    <xf numFmtId="164" fontId="3" fillId="3" borderId="15" xfId="1" applyNumberFormat="1" applyFont="1" applyFill="1" applyBorder="1"/>
    <xf numFmtId="0" fontId="2" fillId="8" borderId="15" xfId="1" applyFont="1" applyFill="1" applyBorder="1" applyAlignment="1">
      <alignment horizontal="center" vertical="center" wrapText="1"/>
    </xf>
    <xf numFmtId="164" fontId="2" fillId="8" borderId="15" xfId="1" applyNumberFormat="1" applyFont="1" applyFill="1" applyBorder="1"/>
    <xf numFmtId="0" fontId="2" fillId="0" borderId="15" xfId="1" applyFont="1" applyBorder="1" applyAlignment="1">
      <alignment wrapText="1"/>
    </xf>
    <xf numFmtId="0" fontId="2" fillId="0" borderId="19" xfId="1" applyFont="1" applyBorder="1" applyAlignment="1">
      <alignment wrapText="1"/>
    </xf>
    <xf numFmtId="168" fontId="7" fillId="0" borderId="15" xfId="0" applyNumberFormat="1" applyFont="1" applyBorder="1" applyAlignment="1">
      <alignment horizontal="center" vertical="center"/>
    </xf>
    <xf numFmtId="1" fontId="7" fillId="6" borderId="15" xfId="0" applyNumberFormat="1" applyFont="1" applyFill="1" applyBorder="1" applyAlignment="1">
      <alignment horizontal="center" vertical="center"/>
    </xf>
    <xf numFmtId="1" fontId="7" fillId="6" borderId="19" xfId="0" applyNumberFormat="1" applyFont="1" applyFill="1" applyBorder="1" applyAlignment="1">
      <alignment horizontal="center" vertical="center"/>
    </xf>
    <xf numFmtId="164" fontId="2" fillId="7" borderId="15" xfId="1" applyNumberFormat="1" applyFont="1" applyFill="1" applyBorder="1"/>
    <xf numFmtId="164" fontId="10" fillId="0" borderId="15" xfId="1" applyNumberFormat="1" applyFont="1" applyBorder="1"/>
    <xf numFmtId="170" fontId="2" fillId="8" borderId="15" xfId="1" applyNumberFormat="1" applyFont="1" applyFill="1" applyBorder="1"/>
    <xf numFmtId="0" fontId="2" fillId="0" borderId="15" xfId="1" applyFont="1" applyBorder="1" applyAlignment="1">
      <alignment horizontal="center" vertical="center"/>
    </xf>
    <xf numFmtId="164" fontId="2" fillId="3" borderId="15" xfId="1" applyNumberFormat="1" applyFont="1" applyFill="1" applyBorder="1"/>
    <xf numFmtId="0" fontId="6" fillId="0" borderId="11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wrapText="1"/>
    </xf>
    <xf numFmtId="164" fontId="9" fillId="0" borderId="0" xfId="1" applyNumberFormat="1" applyFont="1" applyAlignment="1">
      <alignment horizontal="right" vertical="center"/>
    </xf>
    <xf numFmtId="164" fontId="10" fillId="0" borderId="16" xfId="1" applyNumberFormat="1" applyFont="1" applyBorder="1" applyAlignment="1">
      <alignment horizontal="right" vertical="center"/>
    </xf>
    <xf numFmtId="164" fontId="9" fillId="0" borderId="15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9" fillId="0" borderId="21" xfId="1" applyNumberFormat="1" applyFont="1" applyBorder="1" applyAlignment="1">
      <alignment horizontal="right" vertical="center"/>
    </xf>
    <xf numFmtId="164" fontId="2" fillId="0" borderId="21" xfId="1" applyNumberFormat="1" applyFont="1" applyBorder="1" applyAlignment="1">
      <alignment horizontal="right" vertical="center"/>
    </xf>
    <xf numFmtId="0" fontId="2" fillId="0" borderId="22" xfId="1" applyFont="1" applyBorder="1" applyAlignment="1">
      <alignment horizontal="right" wrapText="1"/>
    </xf>
    <xf numFmtId="164" fontId="3" fillId="0" borderId="22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0" borderId="2" xfId="1" applyNumberFormat="1" applyFont="1" applyBorder="1" applyAlignment="1">
      <alignment horizontal="right" vertical="center"/>
    </xf>
    <xf numFmtId="164" fontId="9" fillId="0" borderId="17" xfId="1" applyNumberFormat="1" applyFont="1" applyBorder="1" applyAlignment="1">
      <alignment horizontal="right" vertical="center"/>
    </xf>
    <xf numFmtId="0" fontId="3" fillId="0" borderId="0" xfId="1" applyFont="1" applyAlignment="1">
      <alignment horizontal="left" wrapText="1" indent="1"/>
    </xf>
    <xf numFmtId="0" fontId="3" fillId="0" borderId="18" xfId="1" applyFont="1" applyBorder="1" applyAlignment="1">
      <alignment horizontal="left" wrapText="1" indent="1"/>
    </xf>
    <xf numFmtId="164" fontId="9" fillId="0" borderId="2" xfId="1" applyNumberFormat="1" applyFont="1" applyBorder="1" applyAlignment="1">
      <alignment horizontal="right" vertical="center"/>
    </xf>
    <xf numFmtId="164" fontId="9" fillId="0" borderId="13" xfId="1" applyNumberFormat="1" applyFont="1" applyBorder="1" applyAlignment="1">
      <alignment horizontal="right" vertical="center"/>
    </xf>
    <xf numFmtId="164" fontId="9" fillId="0" borderId="19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0" fontId="2" fillId="0" borderId="25" xfId="1" applyFont="1" applyBorder="1" applyAlignment="1">
      <alignment wrapText="1"/>
    </xf>
    <xf numFmtId="0" fontId="2" fillId="0" borderId="26" xfId="1" applyFont="1" applyBorder="1" applyAlignment="1">
      <alignment horizontal="right" wrapText="1"/>
    </xf>
    <xf numFmtId="0" fontId="2" fillId="0" borderId="19" xfId="1" applyFont="1" applyBorder="1" applyAlignment="1">
      <alignment horizontal="right"/>
    </xf>
    <xf numFmtId="0" fontId="2" fillId="0" borderId="21" xfId="1" applyFont="1" applyBorder="1" applyAlignment="1">
      <alignment wrapText="1"/>
    </xf>
    <xf numFmtId="164" fontId="9" fillId="0" borderId="8" xfId="1" applyNumberFormat="1" applyFont="1" applyBorder="1" applyAlignment="1">
      <alignment horizontal="right" vertical="center"/>
    </xf>
    <xf numFmtId="164" fontId="2" fillId="0" borderId="8" xfId="1" applyNumberFormat="1" applyFont="1" applyBorder="1" applyAlignment="1">
      <alignment horizontal="right" vertical="center"/>
    </xf>
    <xf numFmtId="164" fontId="3" fillId="0" borderId="2" xfId="1" applyNumberFormat="1" applyFont="1" applyBorder="1" applyAlignment="1">
      <alignment horizontal="right" vertical="center"/>
    </xf>
    <xf numFmtId="164" fontId="3" fillId="0" borderId="15" xfId="1" applyNumberFormat="1" applyFont="1" applyBorder="1" applyAlignment="1">
      <alignment horizontal="right" vertical="center"/>
    </xf>
    <xf numFmtId="0" fontId="2" fillId="0" borderId="20" xfId="1" applyFont="1" applyBorder="1" applyAlignment="1">
      <alignment horizontal="right" vertical="center" wrapText="1"/>
    </xf>
    <xf numFmtId="164" fontId="9" fillId="0" borderId="27" xfId="1" applyNumberFormat="1" applyFont="1" applyBorder="1" applyAlignment="1">
      <alignment horizontal="right" vertical="center"/>
    </xf>
    <xf numFmtId="164" fontId="9" fillId="0" borderId="20" xfId="1" applyNumberFormat="1" applyFont="1" applyBorder="1" applyAlignment="1">
      <alignment horizontal="right" vertical="center"/>
    </xf>
    <xf numFmtId="164" fontId="2" fillId="0" borderId="27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16" xfId="1" applyFont="1" applyBorder="1" applyAlignment="1">
      <alignment horizontal="right"/>
    </xf>
    <xf numFmtId="0" fontId="10" fillId="0" borderId="22" xfId="1" applyFont="1" applyBorder="1" applyAlignment="1">
      <alignment horizontal="right" vertical="center"/>
    </xf>
    <xf numFmtId="164" fontId="10" fillId="3" borderId="17" xfId="1" applyNumberFormat="1" applyFont="1" applyFill="1" applyBorder="1" applyAlignment="1">
      <alignment horizontal="right" vertical="center"/>
    </xf>
    <xf numFmtId="164" fontId="10" fillId="3" borderId="0" xfId="1" applyNumberFormat="1" applyFont="1" applyFill="1" applyAlignment="1">
      <alignment horizontal="right" vertical="center"/>
    </xf>
    <xf numFmtId="164" fontId="3" fillId="3" borderId="17" xfId="1" applyNumberFormat="1" applyFont="1" applyFill="1" applyBorder="1" applyAlignment="1">
      <alignment horizontal="right" vertical="center"/>
    </xf>
    <xf numFmtId="164" fontId="3" fillId="3" borderId="0" xfId="1" applyNumberFormat="1" applyFont="1" applyFill="1" applyAlignment="1">
      <alignment horizontal="right" vertical="center"/>
    </xf>
    <xf numFmtId="164" fontId="10" fillId="3" borderId="24" xfId="1" applyNumberFormat="1" applyFont="1" applyFill="1" applyBorder="1" applyAlignment="1">
      <alignment horizontal="right" vertical="center"/>
    </xf>
    <xf numFmtId="164" fontId="10" fillId="3" borderId="18" xfId="1" applyNumberFormat="1" applyFont="1" applyFill="1" applyBorder="1" applyAlignment="1">
      <alignment horizontal="right" vertical="center"/>
    </xf>
    <xf numFmtId="164" fontId="3" fillId="3" borderId="24" xfId="1" applyNumberFormat="1" applyFont="1" applyFill="1" applyBorder="1" applyAlignment="1">
      <alignment horizontal="right" vertical="center"/>
    </xf>
    <xf numFmtId="164" fontId="3" fillId="3" borderId="18" xfId="1" applyNumberFormat="1" applyFont="1" applyFill="1" applyBorder="1" applyAlignment="1">
      <alignment horizontal="right" vertical="center"/>
    </xf>
    <xf numFmtId="164" fontId="10" fillId="3" borderId="23" xfId="1" applyNumberFormat="1" applyFont="1" applyFill="1" applyBorder="1" applyAlignment="1">
      <alignment horizontal="right" vertical="center"/>
    </xf>
    <xf numFmtId="164" fontId="3" fillId="3" borderId="23" xfId="1" applyNumberFormat="1" applyFont="1" applyFill="1" applyBorder="1" applyAlignment="1">
      <alignment horizontal="right" vertical="center"/>
    </xf>
    <xf numFmtId="164" fontId="2" fillId="0" borderId="0" xfId="1" applyNumberFormat="1" applyFont="1"/>
    <xf numFmtId="164" fontId="10" fillId="3" borderId="8" xfId="1" applyNumberFormat="1" applyFont="1" applyFill="1" applyBorder="1" applyAlignment="1">
      <alignment horizontal="right" vertical="center"/>
    </xf>
    <xf numFmtId="164" fontId="10" fillId="3" borderId="21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21" xfId="1" applyNumberFormat="1" applyFont="1" applyFill="1" applyBorder="1" applyAlignment="1">
      <alignment horizontal="right" vertical="center"/>
    </xf>
    <xf numFmtId="0" fontId="3" fillId="0" borderId="16" xfId="1" applyFont="1" applyBorder="1" applyAlignment="1">
      <alignment horizontal="left" indent="1"/>
    </xf>
    <xf numFmtId="164" fontId="2" fillId="0" borderId="2" xfId="1" applyNumberFormat="1" applyFont="1" applyBorder="1"/>
    <xf numFmtId="164" fontId="2" fillId="0" borderId="15" xfId="1" applyNumberFormat="1" applyFont="1" applyBorder="1"/>
    <xf numFmtId="164" fontId="9" fillId="0" borderId="2" xfId="1" applyNumberFormat="1" applyFont="1" applyBorder="1"/>
    <xf numFmtId="164" fontId="9" fillId="0" borderId="15" xfId="1" applyNumberFormat="1" applyFont="1" applyBorder="1"/>
    <xf numFmtId="164" fontId="10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164" fontId="5" fillId="0" borderId="16" xfId="1" applyNumberFormat="1" applyFont="1" applyBorder="1" applyAlignment="1">
      <alignment horizontal="right" vertical="center"/>
    </xf>
    <xf numFmtId="0" fontId="3" fillId="0" borderId="19" xfId="1" applyFont="1" applyBorder="1" applyAlignment="1">
      <alignment horizontal="left"/>
    </xf>
    <xf numFmtId="164" fontId="3" fillId="0" borderId="19" xfId="1" applyNumberFormat="1" applyFont="1" applyBorder="1"/>
    <xf numFmtId="164" fontId="10" fillId="0" borderId="19" xfId="1" applyNumberFormat="1" applyFont="1" applyBorder="1" applyAlignment="1">
      <alignment horizontal="right" vertical="center"/>
    </xf>
    <xf numFmtId="164" fontId="5" fillId="0" borderId="19" xfId="1" applyNumberFormat="1" applyFont="1" applyBorder="1" applyAlignment="1">
      <alignment horizontal="right" vertical="center"/>
    </xf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164" fontId="3" fillId="0" borderId="11" xfId="1" applyNumberFormat="1" applyFont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0" fontId="2" fillId="0" borderId="16" xfId="1" applyFont="1" applyBorder="1"/>
    <xf numFmtId="10" fontId="3" fillId="0" borderId="16" xfId="1" applyNumberFormat="1" applyFont="1" applyBorder="1"/>
    <xf numFmtId="0" fontId="2" fillId="0" borderId="19" xfId="1" applyFont="1" applyBorder="1"/>
    <xf numFmtId="168" fontId="7" fillId="0" borderId="2" xfId="0" applyNumberFormat="1" applyFont="1" applyBorder="1" applyAlignment="1">
      <alignment horizontal="center" vertical="center"/>
    </xf>
    <xf numFmtId="10" fontId="3" fillId="0" borderId="11" xfId="1" applyNumberFormat="1" applyFont="1" applyBorder="1"/>
    <xf numFmtId="10" fontId="3" fillId="0" borderId="13" xfId="1" applyNumberFormat="1" applyFont="1" applyBorder="1"/>
    <xf numFmtId="10" fontId="3" fillId="0" borderId="2" xfId="1" applyNumberFormat="1" applyFont="1" applyBorder="1"/>
    <xf numFmtId="10" fontId="3" fillId="0" borderId="15" xfId="1" applyNumberFormat="1" applyFont="1" applyBorder="1"/>
    <xf numFmtId="0" fontId="4" fillId="0" borderId="0" xfId="0" applyFont="1" applyAlignment="1">
      <alignment horizontal="center"/>
    </xf>
    <xf numFmtId="164" fontId="3" fillId="0" borderId="5" xfId="1" applyNumberFormat="1" applyFont="1" applyBorder="1" applyAlignment="1">
      <alignment horizontal="right" vertical="center"/>
    </xf>
    <xf numFmtId="0" fontId="3" fillId="0" borderId="11" xfId="1" applyFont="1" applyBorder="1"/>
    <xf numFmtId="0" fontId="3" fillId="0" borderId="13" xfId="1" applyFont="1" applyBorder="1"/>
    <xf numFmtId="168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5" fillId="0" borderId="19" xfId="0" applyNumberFormat="1" applyFont="1" applyBorder="1" applyAlignment="1">
      <alignment horizontal="center" vertical="center"/>
    </xf>
    <xf numFmtId="164" fontId="10" fillId="0" borderId="16" xfId="0" applyNumberFormat="1" applyFont="1" applyBorder="1" applyAlignment="1">
      <alignment horizontal="right" vertical="center"/>
    </xf>
    <xf numFmtId="10" fontId="5" fillId="0" borderId="0" xfId="0" applyNumberFormat="1" applyFont="1"/>
    <xf numFmtId="10" fontId="10" fillId="0" borderId="2" xfId="1" applyNumberFormat="1" applyFont="1" applyBorder="1"/>
    <xf numFmtId="10" fontId="10" fillId="0" borderId="15" xfId="1" applyNumberFormat="1" applyFont="1" applyBorder="1"/>
    <xf numFmtId="10" fontId="10" fillId="3" borderId="2" xfId="1" applyNumberFormat="1" applyFont="1" applyFill="1" applyBorder="1"/>
    <xf numFmtId="10" fontId="10" fillId="3" borderId="15" xfId="1" applyNumberFormat="1" applyFont="1" applyFill="1" applyBorder="1"/>
    <xf numFmtId="10" fontId="13" fillId="0" borderId="2" xfId="1" applyNumberFormat="1" applyFont="1" applyBorder="1"/>
    <xf numFmtId="10" fontId="13" fillId="0" borderId="15" xfId="1" applyNumberFormat="1" applyFont="1" applyBorder="1"/>
    <xf numFmtId="10" fontId="5" fillId="0" borderId="2" xfId="1" applyNumberFormat="1" applyFont="1" applyBorder="1"/>
    <xf numFmtId="10" fontId="5" fillId="0" borderId="15" xfId="1" applyNumberFormat="1" applyFont="1" applyBorder="1"/>
    <xf numFmtId="10" fontId="2" fillId="0" borderId="0" xfId="1" applyNumberFormat="1" applyFont="1"/>
    <xf numFmtId="164" fontId="3" fillId="0" borderId="17" xfId="1" applyNumberFormat="1" applyFont="1" applyBorder="1" applyAlignment="1">
      <alignment horizontal="right" vertical="center"/>
    </xf>
    <xf numFmtId="10" fontId="5" fillId="0" borderId="13" xfId="1" applyNumberFormat="1" applyFont="1" applyBorder="1"/>
    <xf numFmtId="10" fontId="5" fillId="0" borderId="19" xfId="1" applyNumberFormat="1" applyFont="1" applyBorder="1"/>
    <xf numFmtId="164" fontId="10" fillId="3" borderId="2" xfId="1" applyNumberFormat="1" applyFont="1" applyFill="1" applyBorder="1" applyAlignment="1">
      <alignment horizontal="right" vertical="center"/>
    </xf>
    <xf numFmtId="164" fontId="10" fillId="3" borderId="15" xfId="1" applyNumberFormat="1" applyFont="1" applyFill="1" applyBorder="1" applyAlignment="1">
      <alignment horizontal="right" vertical="center"/>
    </xf>
    <xf numFmtId="164" fontId="3" fillId="3" borderId="2" xfId="1" applyNumberFormat="1" applyFont="1" applyFill="1" applyBorder="1" applyAlignment="1">
      <alignment horizontal="right" vertical="center"/>
    </xf>
    <xf numFmtId="164" fontId="3" fillId="3" borderId="15" xfId="1" applyNumberFormat="1" applyFont="1" applyFill="1" applyBorder="1" applyAlignment="1">
      <alignment horizontal="right" vertical="center"/>
    </xf>
    <xf numFmtId="164" fontId="10" fillId="3" borderId="16" xfId="1" applyNumberFormat="1" applyFont="1" applyFill="1" applyBorder="1" applyAlignment="1">
      <alignment horizontal="right" vertical="center"/>
    </xf>
    <xf numFmtId="164" fontId="3" fillId="3" borderId="16" xfId="1" applyNumberFormat="1" applyFont="1" applyFill="1" applyBorder="1" applyAlignment="1">
      <alignment horizontal="right" vertical="center"/>
    </xf>
    <xf numFmtId="171" fontId="5" fillId="0" borderId="5" xfId="0" applyNumberFormat="1" applyFont="1" applyBorder="1" applyAlignment="1">
      <alignment horizontal="center" vertical="center"/>
    </xf>
    <xf numFmtId="171" fontId="5" fillId="0" borderId="12" xfId="0" applyNumberFormat="1" applyFont="1" applyBorder="1" applyAlignment="1">
      <alignment horizontal="center" vertical="center"/>
    </xf>
    <xf numFmtId="171" fontId="7" fillId="0" borderId="2" xfId="0" applyNumberFormat="1" applyFont="1" applyBorder="1" applyAlignment="1">
      <alignment horizontal="center" vertical="center"/>
    </xf>
    <xf numFmtId="171" fontId="7" fillId="0" borderId="15" xfId="0" applyNumberFormat="1" applyFont="1" applyBorder="1" applyAlignment="1">
      <alignment horizontal="center" vertical="center"/>
    </xf>
    <xf numFmtId="171" fontId="7" fillId="0" borderId="16" xfId="0" applyNumberFormat="1" applyFont="1" applyBorder="1" applyAlignment="1">
      <alignment horizontal="center" vertical="center"/>
    </xf>
    <xf numFmtId="164" fontId="3" fillId="0" borderId="11" xfId="1" applyNumberFormat="1" applyFont="1" applyBorder="1"/>
    <xf numFmtId="10" fontId="3" fillId="0" borderId="17" xfId="1" applyNumberFormat="1" applyFont="1" applyBorder="1"/>
    <xf numFmtId="164" fontId="5" fillId="0" borderId="11" xfId="1" applyNumberFormat="1" applyFont="1" applyBorder="1" applyAlignment="1">
      <alignment horizontal="right" vertical="center"/>
    </xf>
    <xf numFmtId="164" fontId="5" fillId="0" borderId="17" xfId="1" applyNumberFormat="1" applyFont="1" applyBorder="1" applyAlignment="1">
      <alignment horizontal="right" vertical="center"/>
    </xf>
    <xf numFmtId="164" fontId="5" fillId="0" borderId="13" xfId="1" applyNumberFormat="1" applyFont="1" applyBorder="1" applyAlignment="1">
      <alignment horizontal="right" vertical="center"/>
    </xf>
    <xf numFmtId="164" fontId="13" fillId="0" borderId="0" xfId="1" applyNumberFormat="1" applyFont="1"/>
    <xf numFmtId="164" fontId="13" fillId="0" borderId="17" xfId="1" applyNumberFormat="1" applyFont="1" applyBorder="1"/>
    <xf numFmtId="0" fontId="2" fillId="0" borderId="18" xfId="1" applyFont="1" applyBorder="1" applyAlignment="1">
      <alignment wrapText="1"/>
    </xf>
    <xf numFmtId="164" fontId="9" fillId="0" borderId="24" xfId="1" applyNumberFormat="1" applyFont="1" applyBorder="1" applyAlignment="1">
      <alignment horizontal="right" vertical="center"/>
    </xf>
    <xf numFmtId="164" fontId="9" fillId="0" borderId="18" xfId="1" applyNumberFormat="1" applyFont="1" applyBorder="1" applyAlignment="1">
      <alignment horizontal="right" vertical="center"/>
    </xf>
    <xf numFmtId="164" fontId="2" fillId="0" borderId="24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0" fontId="10" fillId="0" borderId="13" xfId="1" applyNumberFormat="1" applyFont="1" applyBorder="1"/>
    <xf numFmtId="10" fontId="10" fillId="0" borderId="19" xfId="1" applyNumberFormat="1" applyFont="1" applyBorder="1"/>
    <xf numFmtId="0" fontId="3" fillId="0" borderId="15" xfId="1" applyFont="1" applyBorder="1" applyAlignment="1">
      <alignment wrapText="1"/>
    </xf>
    <xf numFmtId="164" fontId="3" fillId="0" borderId="13" xfId="1" applyNumberFormat="1" applyFont="1" applyBorder="1"/>
    <xf numFmtId="164" fontId="5" fillId="0" borderId="13" xfId="1" applyNumberFormat="1" applyFont="1" applyBorder="1"/>
    <xf numFmtId="164" fontId="5" fillId="0" borderId="19" xfId="1" applyNumberFormat="1" applyFont="1" applyBorder="1"/>
    <xf numFmtId="164" fontId="3" fillId="0" borderId="2" xfId="1" applyNumberFormat="1" applyFont="1" applyBorder="1"/>
    <xf numFmtId="0" fontId="5" fillId="0" borderId="5" xfId="0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top" wrapText="1"/>
    </xf>
    <xf numFmtId="0" fontId="7" fillId="0" borderId="15" xfId="0" applyFont="1" applyBorder="1" applyAlignment="1">
      <alignment horizontal="centerContinuous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7" fillId="0" borderId="17" xfId="0" applyFont="1" applyBorder="1" applyAlignment="1">
      <alignment vertical="top" wrapText="1"/>
    </xf>
    <xf numFmtId="0" fontId="7" fillId="0" borderId="30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164" fontId="5" fillId="0" borderId="5" xfId="0" applyNumberFormat="1" applyFont="1" applyBorder="1" applyAlignment="1">
      <alignment horizontal="right" vertical="center"/>
    </xf>
    <xf numFmtId="164" fontId="5" fillId="0" borderId="29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7" fillId="0" borderId="6" xfId="0" applyFont="1" applyBorder="1" applyAlignment="1">
      <alignment wrapText="1"/>
    </xf>
    <xf numFmtId="0" fontId="15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15" fillId="9" borderId="0" xfId="0" applyFont="1" applyFill="1" applyAlignment="1">
      <alignment horizontal="centerContinuous"/>
    </xf>
    <xf numFmtId="0" fontId="16" fillId="0" borderId="0" xfId="0" applyFont="1"/>
    <xf numFmtId="0" fontId="16" fillId="0" borderId="5" xfId="0" applyFont="1" applyBorder="1" applyAlignment="1">
      <alignment horizontal="centerContinuous" wrapText="1"/>
    </xf>
    <xf numFmtId="0" fontId="16" fillId="0" borderId="3" xfId="0" applyFont="1" applyBorder="1" applyAlignment="1">
      <alignment horizontal="centerContinuous" wrapText="1"/>
    </xf>
    <xf numFmtId="0" fontId="16" fillId="0" borderId="15" xfId="0" applyFont="1" applyBorder="1" applyAlignment="1">
      <alignment horizontal="centerContinuous" wrapText="1"/>
    </xf>
    <xf numFmtId="0" fontId="16" fillId="0" borderId="28" xfId="0" applyFont="1" applyBorder="1" applyAlignment="1">
      <alignment horizontal="centerContinuous" wrapText="1"/>
    </xf>
    <xf numFmtId="0" fontId="17" fillId="0" borderId="15" xfId="0" applyFont="1" applyBorder="1" applyAlignment="1">
      <alignment horizontal="centerContinuous" vertical="center" wrapText="1"/>
    </xf>
    <xf numFmtId="0" fontId="17" fillId="0" borderId="3" xfId="0" applyFont="1" applyBorder="1" applyAlignment="1">
      <alignment horizontal="centerContinuous" vertical="center" wrapText="1"/>
    </xf>
    <xf numFmtId="164" fontId="16" fillId="0" borderId="5" xfId="0" applyNumberFormat="1" applyFont="1" applyBorder="1" applyAlignment="1">
      <alignment horizontal="right" vertical="center"/>
    </xf>
    <xf numFmtId="164" fontId="17" fillId="0" borderId="3" xfId="0" applyNumberFormat="1" applyFont="1" applyBorder="1" applyAlignment="1">
      <alignment horizontal="right" vertical="center"/>
    </xf>
    <xf numFmtId="164" fontId="17" fillId="0" borderId="5" xfId="0" applyNumberFormat="1" applyFont="1" applyBorder="1" applyAlignment="1">
      <alignment horizontal="right" vertical="center"/>
    </xf>
    <xf numFmtId="164" fontId="16" fillId="0" borderId="9" xfId="0" applyNumberFormat="1" applyFont="1" applyBorder="1" applyAlignment="1">
      <alignment horizontal="right" vertical="center"/>
    </xf>
    <xf numFmtId="164" fontId="16" fillId="0" borderId="31" xfId="0" applyNumberFormat="1" applyFont="1" applyBorder="1" applyAlignment="1">
      <alignment horizontal="right" vertical="center"/>
    </xf>
    <xf numFmtId="164" fontId="17" fillId="0" borderId="10" xfId="0" applyNumberFormat="1" applyFont="1" applyBorder="1" applyAlignment="1">
      <alignment horizontal="right" vertical="center"/>
    </xf>
    <xf numFmtId="164" fontId="17" fillId="0" borderId="9" xfId="0" applyNumberFormat="1" applyFont="1" applyBorder="1" applyAlignment="1">
      <alignment horizontal="right" vertical="center"/>
    </xf>
    <xf numFmtId="164" fontId="17" fillId="0" borderId="6" xfId="0" applyNumberFormat="1" applyFont="1" applyBorder="1" applyAlignment="1">
      <alignment horizontal="right" vertical="center"/>
    </xf>
    <xf numFmtId="164" fontId="17" fillId="0" borderId="30" xfId="0" applyNumberFormat="1" applyFont="1" applyBorder="1" applyAlignment="1">
      <alignment horizontal="right" vertical="center"/>
    </xf>
    <xf numFmtId="164" fontId="17" fillId="0" borderId="7" xfId="0" applyNumberFormat="1" applyFont="1" applyBorder="1" applyAlignment="1">
      <alignment horizontal="right" vertical="center"/>
    </xf>
    <xf numFmtId="0" fontId="17" fillId="0" borderId="32" xfId="0" applyFont="1" applyBorder="1" applyAlignment="1">
      <alignment wrapText="1"/>
    </xf>
    <xf numFmtId="164" fontId="17" fillId="0" borderId="33" xfId="0" applyNumberFormat="1" applyFont="1" applyBorder="1"/>
    <xf numFmtId="164" fontId="17" fillId="0" borderId="34" xfId="0" applyNumberFormat="1" applyFont="1" applyBorder="1"/>
    <xf numFmtId="164" fontId="17" fillId="0" borderId="35" xfId="0" applyNumberFormat="1" applyFont="1" applyBorder="1"/>
    <xf numFmtId="164" fontId="17" fillId="0" borderId="36" xfId="0" applyNumberFormat="1" applyFont="1" applyBorder="1"/>
    <xf numFmtId="164" fontId="17" fillId="0" borderId="37" xfId="0" applyNumberFormat="1" applyFont="1" applyBorder="1"/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4" fillId="0" borderId="45" xfId="0" applyFont="1" applyBorder="1" applyAlignment="1">
      <alignment vertical="top" wrapText="1"/>
    </xf>
    <xf numFmtId="164" fontId="16" fillId="0" borderId="45" xfId="0" applyNumberFormat="1" applyFont="1" applyBorder="1" applyAlignment="1">
      <alignment horizontal="right" vertical="center"/>
    </xf>
    <xf numFmtId="164" fontId="5" fillId="0" borderId="45" xfId="0" applyNumberFormat="1" applyFont="1" applyBorder="1" applyAlignment="1">
      <alignment horizontal="right" vertical="center"/>
    </xf>
    <xf numFmtId="164" fontId="16" fillId="0" borderId="46" xfId="0" applyNumberFormat="1" applyFont="1" applyBorder="1" applyAlignment="1">
      <alignment horizontal="right" vertical="center"/>
    </xf>
    <xf numFmtId="164" fontId="17" fillId="0" borderId="47" xfId="0" applyNumberFormat="1" applyFont="1" applyBorder="1" applyAlignment="1">
      <alignment horizontal="right" vertical="center"/>
    </xf>
    <xf numFmtId="164" fontId="17" fillId="0" borderId="48" xfId="0" applyNumberFormat="1" applyFont="1" applyBorder="1" applyAlignment="1">
      <alignment horizontal="right" vertical="center"/>
    </xf>
    <xf numFmtId="164" fontId="17" fillId="0" borderId="4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top" wrapText="1"/>
    </xf>
    <xf numFmtId="164" fontId="16" fillId="0" borderId="6" xfId="0" applyNumberFormat="1" applyFont="1" applyBorder="1" applyAlignment="1">
      <alignment horizontal="right" vertical="center"/>
    </xf>
    <xf numFmtId="164" fontId="16" fillId="0" borderId="30" xfId="0" applyNumberFormat="1" applyFont="1" applyBorder="1" applyAlignment="1">
      <alignment horizontal="right" vertical="center"/>
    </xf>
    <xf numFmtId="164" fontId="17" fillId="0" borderId="49" xfId="0" applyNumberFormat="1" applyFont="1" applyBorder="1" applyAlignment="1">
      <alignment horizontal="right" vertical="center"/>
    </xf>
    <xf numFmtId="164" fontId="17" fillId="0" borderId="50" xfId="0" applyNumberFormat="1" applyFont="1" applyBorder="1" applyAlignment="1">
      <alignment horizontal="right" vertical="center"/>
    </xf>
    <xf numFmtId="164" fontId="5" fillId="0" borderId="9" xfId="0" applyNumberFormat="1" applyFont="1" applyBorder="1" applyAlignment="1">
      <alignment horizontal="right" vertical="center"/>
    </xf>
    <xf numFmtId="164" fontId="16" fillId="0" borderId="21" xfId="0" applyNumberFormat="1" applyFont="1" applyBorder="1" applyAlignment="1">
      <alignment horizontal="right" vertical="center"/>
    </xf>
    <xf numFmtId="164" fontId="17" fillId="0" borderId="51" xfId="0" applyNumberFormat="1" applyFont="1" applyBorder="1" applyAlignment="1">
      <alignment horizontal="right" vertical="center"/>
    </xf>
    <xf numFmtId="164" fontId="17" fillId="0" borderId="52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top" wrapText="1"/>
    </xf>
    <xf numFmtId="164" fontId="17" fillId="0" borderId="4" xfId="0" applyNumberFormat="1" applyFont="1" applyBorder="1" applyAlignment="1">
      <alignment horizontal="right" vertical="center"/>
    </xf>
    <xf numFmtId="164" fontId="7" fillId="0" borderId="4" xfId="0" applyNumberFormat="1" applyFont="1" applyBorder="1" applyAlignment="1">
      <alignment horizontal="right" vertical="center"/>
    </xf>
    <xf numFmtId="164" fontId="17" fillId="0" borderId="42" xfId="0" applyNumberFormat="1" applyFont="1" applyBorder="1" applyAlignment="1">
      <alignment horizontal="right" vertical="center"/>
    </xf>
    <xf numFmtId="164" fontId="17" fillId="0" borderId="43" xfId="0" applyNumberFormat="1" applyFont="1" applyBorder="1" applyAlignment="1">
      <alignment horizontal="right" vertical="center"/>
    </xf>
    <xf numFmtId="164" fontId="17" fillId="0" borderId="44" xfId="0" applyNumberFormat="1" applyFont="1" applyBorder="1" applyAlignment="1">
      <alignment horizontal="right" vertical="center"/>
    </xf>
    <xf numFmtId="0" fontId="16" fillId="0" borderId="0" xfId="0" applyFont="1" applyAlignment="1">
      <alignment wrapText="1"/>
    </xf>
    <xf numFmtId="0" fontId="5" fillId="10" borderId="2" xfId="0" applyFont="1" applyFill="1" applyBorder="1" applyAlignment="1">
      <alignment horizontal="centerContinuous" vertical="center" wrapText="1"/>
    </xf>
    <xf numFmtId="0" fontId="16" fillId="10" borderId="3" xfId="0" applyFont="1" applyFill="1" applyBorder="1" applyAlignment="1">
      <alignment horizontal="centerContinuous" vertical="center" wrapText="1"/>
    </xf>
    <xf numFmtId="0" fontId="16" fillId="10" borderId="15" xfId="0" applyFont="1" applyFill="1" applyBorder="1" applyAlignment="1">
      <alignment horizontal="centerContinuous" vertical="center" wrapText="1"/>
    </xf>
    <xf numFmtId="0" fontId="16" fillId="10" borderId="28" xfId="0" applyFont="1" applyFill="1" applyBorder="1" applyAlignment="1">
      <alignment horizontal="centerContinuous" vertical="center" wrapText="1"/>
    </xf>
    <xf numFmtId="0" fontId="16" fillId="10" borderId="38" xfId="0" applyFont="1" applyFill="1" applyBorder="1" applyAlignment="1">
      <alignment horizontal="centerContinuous" vertical="center" wrapText="1"/>
    </xf>
    <xf numFmtId="0" fontId="5" fillId="10" borderId="15" xfId="0" applyFont="1" applyFill="1" applyBorder="1" applyAlignment="1">
      <alignment horizontal="centerContinuous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16" fillId="10" borderId="39" xfId="0" applyFont="1" applyFill="1" applyBorder="1" applyAlignment="1">
      <alignment horizontal="center" vertical="center" wrapText="1"/>
    </xf>
    <xf numFmtId="0" fontId="16" fillId="10" borderId="40" xfId="0" applyFont="1" applyFill="1" applyBorder="1" applyAlignment="1">
      <alignment horizontal="center" vertical="center" wrapText="1"/>
    </xf>
    <xf numFmtId="0" fontId="16" fillId="10" borderId="41" xfId="0" applyFont="1" applyFill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right" vertical="center"/>
    </xf>
    <xf numFmtId="164" fontId="16" fillId="0" borderId="39" xfId="0" applyNumberFormat="1" applyFont="1" applyBorder="1" applyAlignment="1">
      <alignment horizontal="right" vertical="center"/>
    </xf>
    <xf numFmtId="164" fontId="16" fillId="0" borderId="16" xfId="0" applyNumberFormat="1" applyFont="1" applyBorder="1" applyAlignment="1">
      <alignment horizontal="right" vertical="center"/>
    </xf>
    <xf numFmtId="164" fontId="16" fillId="0" borderId="40" xfId="0" applyNumberFormat="1" applyFont="1" applyBorder="1" applyAlignment="1">
      <alignment horizontal="right" vertical="center"/>
    </xf>
    <xf numFmtId="164" fontId="16" fillId="0" borderId="41" xfId="0" applyNumberFormat="1" applyFont="1" applyBorder="1" applyAlignment="1">
      <alignment horizontal="right" vertical="center"/>
    </xf>
    <xf numFmtId="164" fontId="16" fillId="0" borderId="12" xfId="0" applyNumberFormat="1" applyFont="1" applyBorder="1" applyAlignment="1">
      <alignment horizontal="right" vertical="center"/>
    </xf>
    <xf numFmtId="164" fontId="16" fillId="11" borderId="1" xfId="0" applyNumberFormat="1" applyFont="1" applyFill="1" applyBorder="1" applyAlignment="1">
      <alignment horizontal="right" vertical="center"/>
    </xf>
    <xf numFmtId="164" fontId="5" fillId="11" borderId="1" xfId="0" applyNumberFormat="1" applyFont="1" applyFill="1" applyBorder="1" applyAlignment="1">
      <alignment horizontal="right" vertical="center"/>
    </xf>
    <xf numFmtId="164" fontId="16" fillId="11" borderId="39" xfId="0" applyNumberFormat="1" applyFont="1" applyFill="1" applyBorder="1" applyAlignment="1">
      <alignment horizontal="right" vertical="center"/>
    </xf>
    <xf numFmtId="164" fontId="16" fillId="11" borderId="16" xfId="0" applyNumberFormat="1" applyFont="1" applyFill="1" applyBorder="1" applyAlignment="1">
      <alignment horizontal="right" vertical="center"/>
    </xf>
    <xf numFmtId="164" fontId="17" fillId="11" borderId="40" xfId="0" applyNumberFormat="1" applyFont="1" applyFill="1" applyBorder="1" applyAlignment="1">
      <alignment horizontal="right" vertical="center"/>
    </xf>
    <xf numFmtId="164" fontId="17" fillId="11" borderId="41" xfId="0" applyNumberFormat="1" applyFont="1" applyFill="1" applyBorder="1" applyAlignment="1">
      <alignment horizontal="right" vertical="center"/>
    </xf>
    <xf numFmtId="164" fontId="17" fillId="11" borderId="12" xfId="0" applyNumberFormat="1" applyFont="1" applyFill="1" applyBorder="1" applyAlignment="1">
      <alignment horizontal="right" vertical="center"/>
    </xf>
    <xf numFmtId="164" fontId="16" fillId="11" borderId="4" xfId="0" applyNumberFormat="1" applyFont="1" applyFill="1" applyBorder="1" applyAlignment="1">
      <alignment horizontal="right" vertical="center"/>
    </xf>
    <xf numFmtId="164" fontId="5" fillId="11" borderId="4" xfId="0" applyNumberFormat="1" applyFont="1" applyFill="1" applyBorder="1" applyAlignment="1">
      <alignment horizontal="right" vertical="center"/>
    </xf>
    <xf numFmtId="164" fontId="16" fillId="11" borderId="42" xfId="0" applyNumberFormat="1" applyFont="1" applyFill="1" applyBorder="1" applyAlignment="1">
      <alignment horizontal="right" vertical="center"/>
    </xf>
    <xf numFmtId="164" fontId="16" fillId="11" borderId="19" xfId="0" applyNumberFormat="1" applyFont="1" applyFill="1" applyBorder="1" applyAlignment="1">
      <alignment horizontal="right" vertical="center"/>
    </xf>
    <xf numFmtId="164" fontId="17" fillId="11" borderId="43" xfId="0" applyNumberFormat="1" applyFont="1" applyFill="1" applyBorder="1" applyAlignment="1">
      <alignment horizontal="right" vertical="center"/>
    </xf>
    <xf numFmtId="164" fontId="17" fillId="11" borderId="44" xfId="0" applyNumberFormat="1" applyFont="1" applyFill="1" applyBorder="1" applyAlignment="1">
      <alignment horizontal="right" vertical="center"/>
    </xf>
    <xf numFmtId="164" fontId="17" fillId="11" borderId="14" xfId="0" applyNumberFormat="1" applyFont="1" applyFill="1" applyBorder="1" applyAlignment="1">
      <alignment horizontal="right" vertical="center"/>
    </xf>
    <xf numFmtId="0" fontId="16" fillId="0" borderId="6" xfId="0" applyFont="1" applyBorder="1" applyAlignment="1">
      <alignment wrapText="1"/>
    </xf>
    <xf numFmtId="164" fontId="16" fillId="0" borderId="0" xfId="0" applyNumberFormat="1" applyFont="1" applyAlignment="1">
      <alignment horizontal="right" vertical="center"/>
    </xf>
    <xf numFmtId="164" fontId="16" fillId="0" borderId="49" xfId="0" applyNumberFormat="1" applyFont="1" applyBorder="1" applyAlignment="1">
      <alignment horizontal="right" vertical="center"/>
    </xf>
    <xf numFmtId="164" fontId="16" fillId="0" borderId="50" xfId="0" applyNumberFormat="1" applyFont="1" applyBorder="1" applyAlignment="1">
      <alignment horizontal="right" vertical="center"/>
    </xf>
    <xf numFmtId="164" fontId="16" fillId="0" borderId="7" xfId="0" applyNumberFormat="1" applyFont="1" applyBorder="1" applyAlignment="1">
      <alignment horizontal="right" vertical="center"/>
    </xf>
    <xf numFmtId="0" fontId="16" fillId="0" borderId="6" xfId="0" applyFont="1" applyBorder="1" applyAlignment="1">
      <alignment vertical="top" wrapText="1"/>
    </xf>
    <xf numFmtId="0" fontId="16" fillId="0" borderId="9" xfId="0" applyFont="1" applyBorder="1" applyAlignment="1">
      <alignment vertical="center" wrapText="1"/>
    </xf>
    <xf numFmtId="10" fontId="5" fillId="0" borderId="0" xfId="1" applyNumberFormat="1" applyFont="1"/>
    <xf numFmtId="164" fontId="5" fillId="0" borderId="16" xfId="1" applyNumberFormat="1" applyFont="1" applyBorder="1"/>
    <xf numFmtId="164" fontId="13" fillId="0" borderId="16" xfId="1" applyNumberFormat="1" applyFont="1" applyBorder="1"/>
    <xf numFmtId="164" fontId="10" fillId="0" borderId="11" xfId="0" applyNumberFormat="1" applyFont="1" applyBorder="1" applyAlignment="1">
      <alignment horizontal="right" vertical="center"/>
    </xf>
    <xf numFmtId="10" fontId="5" fillId="0" borderId="13" xfId="0" applyNumberFormat="1" applyFont="1" applyBorder="1" applyAlignment="1">
      <alignment horizontal="center" vertical="center"/>
    </xf>
    <xf numFmtId="164" fontId="10" fillId="0" borderId="2" xfId="1" applyNumberFormat="1" applyFont="1" applyBorder="1"/>
    <xf numFmtId="164" fontId="10" fillId="0" borderId="11" xfId="1" applyNumberFormat="1" applyFont="1" applyBorder="1" applyAlignment="1">
      <alignment horizontal="right" vertical="center"/>
    </xf>
    <xf numFmtId="164" fontId="10" fillId="0" borderId="11" xfId="1" applyNumberFormat="1" applyFont="1" applyBorder="1"/>
    <xf numFmtId="164" fontId="13" fillId="0" borderId="11" xfId="1" applyNumberFormat="1" applyFont="1" applyBorder="1"/>
    <xf numFmtId="0" fontId="3" fillId="0" borderId="13" xfId="1" applyFont="1" applyBorder="1" applyAlignment="1">
      <alignment wrapText="1"/>
    </xf>
    <xf numFmtId="164" fontId="10" fillId="0" borderId="17" xfId="1" applyNumberFormat="1" applyFont="1" applyBorder="1" applyAlignment="1">
      <alignment horizontal="right" vertical="center"/>
    </xf>
    <xf numFmtId="164" fontId="10" fillId="0" borderId="13" xfId="1" applyNumberFormat="1" applyFont="1" applyBorder="1" applyAlignment="1">
      <alignment horizontal="right" vertical="center"/>
    </xf>
    <xf numFmtId="0" fontId="10" fillId="3" borderId="26" xfId="1" applyFont="1" applyFill="1" applyBorder="1" applyAlignment="1">
      <alignment horizontal="right" vertical="center"/>
    </xf>
    <xf numFmtId="164" fontId="3" fillId="3" borderId="26" xfId="1" applyNumberFormat="1" applyFont="1" applyFill="1" applyBorder="1" applyAlignment="1">
      <alignment horizontal="right" vertical="center"/>
    </xf>
    <xf numFmtId="164" fontId="9" fillId="3" borderId="2" xfId="1" applyNumberFormat="1" applyFont="1" applyFill="1" applyBorder="1" applyAlignment="1">
      <alignment horizontal="right" vertical="center"/>
    </xf>
    <xf numFmtId="164" fontId="9" fillId="3" borderId="15" xfId="1" applyNumberFormat="1" applyFont="1" applyFill="1" applyBorder="1" applyAlignment="1">
      <alignment horizontal="right" vertical="center"/>
    </xf>
    <xf numFmtId="164" fontId="2" fillId="3" borderId="2" xfId="1" applyNumberFormat="1" applyFont="1" applyFill="1" applyBorder="1" applyAlignment="1">
      <alignment horizontal="right" vertical="center"/>
    </xf>
    <xf numFmtId="164" fontId="2" fillId="3" borderId="15" xfId="1" applyNumberFormat="1" applyFont="1" applyFill="1" applyBorder="1" applyAlignment="1">
      <alignment horizontal="right" vertical="center"/>
    </xf>
    <xf numFmtId="164" fontId="9" fillId="3" borderId="8" xfId="1" applyNumberFormat="1" applyFont="1" applyFill="1" applyBorder="1" applyAlignment="1">
      <alignment horizontal="right" vertical="center"/>
    </xf>
    <xf numFmtId="164" fontId="9" fillId="3" borderId="21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164" fontId="2" fillId="3" borderId="21" xfId="1" applyNumberFormat="1" applyFont="1" applyFill="1" applyBorder="1" applyAlignment="1">
      <alignment horizontal="right" vertical="center"/>
    </xf>
    <xf numFmtId="10" fontId="5" fillId="0" borderId="11" xfId="1" applyNumberFormat="1" applyFont="1" applyBorder="1"/>
    <xf numFmtId="10" fontId="5" fillId="0" borderId="16" xfId="1" applyNumberFormat="1" applyFont="1" applyBorder="1"/>
    <xf numFmtId="169" fontId="3" fillId="0" borderId="11" xfId="1" applyNumberFormat="1" applyFont="1" applyBorder="1"/>
    <xf numFmtId="169" fontId="3" fillId="0" borderId="16" xfId="1" applyNumberFormat="1" applyFont="1" applyBorder="1"/>
    <xf numFmtId="164" fontId="7" fillId="0" borderId="0" xfId="1" applyNumberFormat="1" applyFont="1"/>
    <xf numFmtId="164" fontId="12" fillId="0" borderId="19" xfId="1" applyNumberFormat="1" applyFont="1" applyBorder="1"/>
    <xf numFmtId="164" fontId="7" fillId="0" borderId="19" xfId="1" applyNumberFormat="1" applyFont="1" applyBorder="1"/>
    <xf numFmtId="164" fontId="7" fillId="0" borderId="19" xfId="0" applyNumberFormat="1" applyFont="1" applyBorder="1" applyAlignment="1">
      <alignment horizontal="right" vertical="center"/>
    </xf>
    <xf numFmtId="164" fontId="12" fillId="0" borderId="15" xfId="1" applyNumberFormat="1" applyFont="1" applyBorder="1"/>
    <xf numFmtId="164" fontId="7" fillId="0" borderId="15" xfId="0" applyNumberFormat="1" applyFont="1" applyBorder="1" applyAlignment="1">
      <alignment horizontal="right" vertical="center"/>
    </xf>
    <xf numFmtId="164" fontId="12" fillId="0" borderId="11" xfId="1" applyNumberFormat="1" applyFont="1" applyBorder="1"/>
    <xf numFmtId="164" fontId="12" fillId="0" borderId="13" xfId="1" applyNumberFormat="1" applyFont="1" applyBorder="1"/>
    <xf numFmtId="164" fontId="12" fillId="0" borderId="2" xfId="1" applyNumberFormat="1" applyFont="1" applyBorder="1"/>
    <xf numFmtId="164" fontId="12" fillId="0" borderId="17" xfId="1" applyNumberFormat="1" applyFont="1" applyBorder="1"/>
    <xf numFmtId="164" fontId="7" fillId="0" borderId="2" xfId="0" applyNumberFormat="1" applyFont="1" applyBorder="1" applyAlignment="1">
      <alignment horizontal="right" vertical="center"/>
    </xf>
    <xf numFmtId="164" fontId="7" fillId="0" borderId="17" xfId="0" applyNumberFormat="1" applyFont="1" applyBorder="1" applyAlignment="1">
      <alignment horizontal="right" vertical="center"/>
    </xf>
    <xf numFmtId="164" fontId="7" fillId="0" borderId="13" xfId="0" applyNumberFormat="1" applyFont="1" applyBorder="1" applyAlignment="1">
      <alignment horizontal="right" vertical="center"/>
    </xf>
    <xf numFmtId="164" fontId="7" fillId="0" borderId="17" xfId="1" applyNumberFormat="1" applyFont="1" applyBorder="1"/>
    <xf numFmtId="164" fontId="7" fillId="0" borderId="13" xfId="1" applyNumberFormat="1" applyFont="1" applyBorder="1"/>
    <xf numFmtId="0" fontId="2" fillId="0" borderId="16" xfId="0" applyFont="1" applyBorder="1" applyAlignment="1">
      <alignment wrapText="1"/>
    </xf>
    <xf numFmtId="0" fontId="3" fillId="0" borderId="19" xfId="0" applyFont="1" applyBorder="1" applyAlignment="1">
      <alignment horizontal="left" wrapText="1"/>
    </xf>
    <xf numFmtId="0" fontId="3" fillId="0" borderId="16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16" xfId="0" applyFont="1" applyBorder="1" applyAlignment="1">
      <alignment horizontal="left" wrapText="1" indent="1"/>
    </xf>
    <xf numFmtId="0" fontId="3" fillId="0" borderId="19" xfId="0" applyFont="1" applyBorder="1" applyAlignment="1">
      <alignment horizontal="left" wrapText="1" indent="2"/>
    </xf>
    <xf numFmtId="169" fontId="3" fillId="0" borderId="17" xfId="1" applyNumberFormat="1" applyFont="1" applyBorder="1"/>
    <xf numFmtId="169" fontId="3" fillId="0" borderId="13" xfId="1" applyNumberFormat="1" applyFont="1" applyBorder="1"/>
    <xf numFmtId="164" fontId="3" fillId="0" borderId="17" xfId="1" applyNumberFormat="1" applyFont="1" applyBorder="1"/>
    <xf numFmtId="0" fontId="3" fillId="0" borderId="17" xfId="1" applyFont="1" applyBorder="1"/>
    <xf numFmtId="0" fontId="3" fillId="0" borderId="2" xfId="1" applyFont="1" applyBorder="1"/>
    <xf numFmtId="171" fontId="5" fillId="0" borderId="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right" wrapText="1"/>
    </xf>
    <xf numFmtId="0" fontId="3" fillId="0" borderId="15" xfId="0" applyFont="1" applyBorder="1" applyAlignment="1">
      <alignment wrapText="1"/>
    </xf>
    <xf numFmtId="164" fontId="3" fillId="0" borderId="16" xfId="1" applyNumberFormat="1" applyFont="1" applyBorder="1" applyAlignment="1">
      <alignment wrapText="1"/>
    </xf>
    <xf numFmtId="164" fontId="3" fillId="0" borderId="0" xfId="1" applyNumberFormat="1" applyFont="1" applyAlignment="1">
      <alignment wrapText="1"/>
    </xf>
    <xf numFmtId="0" fontId="2" fillId="0" borderId="16" xfId="0" applyFont="1" applyBorder="1" applyAlignment="1">
      <alignment horizontal="left" wrapText="1"/>
    </xf>
    <xf numFmtId="169" fontId="3" fillId="0" borderId="19" xfId="1" applyNumberFormat="1" applyFont="1" applyBorder="1"/>
    <xf numFmtId="164" fontId="18" fillId="0" borderId="13" xfId="1" applyNumberFormat="1" applyFont="1" applyBorder="1"/>
    <xf numFmtId="164" fontId="18" fillId="0" borderId="19" xfId="1" applyNumberFormat="1" applyFont="1" applyBorder="1"/>
    <xf numFmtId="164" fontId="19" fillId="0" borderId="11" xfId="1" applyNumberFormat="1" applyFont="1" applyBorder="1"/>
    <xf numFmtId="164" fontId="19" fillId="0" borderId="16" xfId="1" applyNumberFormat="1" applyFont="1" applyBorder="1"/>
    <xf numFmtId="164" fontId="19" fillId="0" borderId="17" xfId="1" applyNumberFormat="1" applyFont="1" applyBorder="1"/>
    <xf numFmtId="164" fontId="19" fillId="0" borderId="0" xfId="1" applyNumberFormat="1" applyFont="1"/>
    <xf numFmtId="164" fontId="10" fillId="0" borderId="13" xfId="1" applyNumberFormat="1" applyFont="1" applyBorder="1"/>
    <xf numFmtId="164" fontId="10" fillId="0" borderId="19" xfId="1" applyNumberFormat="1" applyFont="1" applyBorder="1"/>
    <xf numFmtId="10" fontId="10" fillId="0" borderId="11" xfId="1" applyNumberFormat="1" applyFont="1" applyBorder="1"/>
    <xf numFmtId="10" fontId="10" fillId="0" borderId="16" xfId="1" applyNumberFormat="1" applyFont="1" applyBorder="1"/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3" fillId="0" borderId="0" xfId="1" applyFont="1" applyBorder="1" applyAlignment="1">
      <alignment wrapText="1"/>
    </xf>
    <xf numFmtId="164" fontId="3" fillId="0" borderId="0" xfId="1" applyNumberFormat="1" applyFont="1" applyBorder="1"/>
    <xf numFmtId="0" fontId="3" fillId="0" borderId="0" xfId="1" applyFont="1" applyBorder="1"/>
    <xf numFmtId="10" fontId="3" fillId="0" borderId="0" xfId="1" applyNumberFormat="1" applyFont="1" applyBorder="1"/>
    <xf numFmtId="164" fontId="10" fillId="12" borderId="17" xfId="1" applyNumberFormat="1" applyFont="1" applyFill="1" applyBorder="1"/>
    <xf numFmtId="164" fontId="10" fillId="12" borderId="0" xfId="1" applyNumberFormat="1" applyFont="1" applyFill="1" applyBorder="1"/>
    <xf numFmtId="164" fontId="10" fillId="12" borderId="0" xfId="1" applyNumberFormat="1" applyFont="1" applyFill="1"/>
    <xf numFmtId="164" fontId="10" fillId="12" borderId="13" xfId="1" applyNumberFormat="1" applyFont="1" applyFill="1" applyBorder="1"/>
    <xf numFmtId="164" fontId="10" fillId="12" borderId="19" xfId="1" applyNumberFormat="1" applyFont="1" applyFill="1" applyBorder="1"/>
    <xf numFmtId="164" fontId="5" fillId="0" borderId="17" xfId="1" applyNumberFormat="1" applyFont="1" applyFill="1" applyBorder="1"/>
    <xf numFmtId="164" fontId="5" fillId="0" borderId="0" xfId="1" applyNumberFormat="1" applyFont="1" applyFill="1"/>
    <xf numFmtId="0" fontId="3" fillId="0" borderId="0" xfId="0" applyFont="1" applyBorder="1" applyAlignment="1">
      <alignment wrapText="1"/>
    </xf>
    <xf numFmtId="10" fontId="5" fillId="0" borderId="0" xfId="1" applyNumberFormat="1" applyFont="1" applyBorder="1"/>
    <xf numFmtId="10" fontId="5" fillId="0" borderId="17" xfId="1" applyNumberFormat="1" applyFont="1" applyBorder="1"/>
  </cellXfs>
  <cellStyles count="2">
    <cellStyle name="Normal" xfId="0" builtinId="0" customBuiltin="1"/>
    <cellStyle name="Normal 2" xfId="1" xr:uid="{07E4199D-92B2-4B15-9FF4-CFEAD848A32C}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U93"/>
  <sheetViews>
    <sheetView workbookViewId="0">
      <selection activeCell="N25" sqref="N25"/>
    </sheetView>
  </sheetViews>
  <sheetFormatPr defaultRowHeight="12" x14ac:dyDescent="0.2"/>
  <cols>
    <col min="2" max="2" width="33.85546875" bestFit="1" customWidth="1"/>
    <col min="3" max="3" width="8.140625" bestFit="1" customWidth="1"/>
    <col min="4" max="6" width="12.28515625" bestFit="1" customWidth="1"/>
    <col min="8" max="8" width="37.42578125" bestFit="1" customWidth="1"/>
    <col min="9" max="9" width="8.140625" bestFit="1" customWidth="1"/>
    <col min="10" max="12" width="13.85546875" bestFit="1" customWidth="1"/>
    <col min="14" max="14" width="97.42578125" bestFit="1" customWidth="1"/>
    <col min="15" max="15" width="8.140625" bestFit="1" customWidth="1"/>
    <col min="16" max="16" width="12.7109375" bestFit="1" customWidth="1"/>
    <col min="17" max="18" width="13.42578125" bestFit="1" customWidth="1"/>
    <col min="20" max="20" width="60.28515625" bestFit="1" customWidth="1"/>
    <col min="21" max="22" width="11.7109375" bestFit="1" customWidth="1"/>
    <col min="23" max="23" width="10.28515625" bestFit="1" customWidth="1"/>
    <col min="24" max="26" width="12.7109375" bestFit="1" customWidth="1"/>
    <col min="27" max="27" width="11.7109375" bestFit="1" customWidth="1"/>
    <col min="28" max="28" width="5.5703125" bestFit="1" customWidth="1"/>
    <col min="29" max="29" width="11.7109375" bestFit="1" customWidth="1"/>
    <col min="30" max="35" width="12.7109375" bestFit="1" customWidth="1"/>
    <col min="36" max="38" width="9.28515625" bestFit="1" customWidth="1"/>
    <col min="39" max="41" width="10.28515625" bestFit="1" customWidth="1"/>
    <col min="42" max="44" width="12.7109375" bestFit="1" customWidth="1"/>
    <col min="45" max="47" width="13.85546875" bestFit="1" customWidth="1"/>
  </cols>
  <sheetData>
    <row r="2" spans="2:47" x14ac:dyDescent="0.2">
      <c r="B2" s="2" t="s">
        <v>0</v>
      </c>
      <c r="C2" s="3"/>
      <c r="D2" s="3"/>
      <c r="E2" s="3"/>
      <c r="F2" s="4"/>
      <c r="H2" s="2" t="s">
        <v>28</v>
      </c>
      <c r="I2" s="3"/>
      <c r="J2" s="3"/>
      <c r="K2" s="3"/>
      <c r="L2" s="4"/>
      <c r="N2" s="2" t="s">
        <v>79</v>
      </c>
      <c r="O2" s="3"/>
      <c r="P2" s="3"/>
      <c r="Q2" s="3"/>
      <c r="R2" s="4"/>
      <c r="T2" s="286" t="s">
        <v>256</v>
      </c>
      <c r="U2" s="287"/>
      <c r="V2" s="287"/>
      <c r="W2" s="287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288"/>
      <c r="AI2" s="288"/>
      <c r="AJ2" s="288"/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8"/>
    </row>
    <row r="3" spans="2:47" x14ac:dyDescent="0.2">
      <c r="H3" s="5"/>
      <c r="I3" s="5"/>
      <c r="J3" s="5"/>
      <c r="K3" s="5"/>
      <c r="L3" s="5"/>
      <c r="N3" s="5"/>
      <c r="O3" s="5"/>
      <c r="P3" s="5"/>
      <c r="Q3" s="5"/>
      <c r="R3" s="5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  <c r="AU3" s="289"/>
    </row>
    <row r="4" spans="2:47" ht="36" x14ac:dyDescent="0.2">
      <c r="B4" s="5"/>
      <c r="C4" s="445" t="s">
        <v>80</v>
      </c>
      <c r="D4" s="6" t="s">
        <v>1</v>
      </c>
      <c r="E4" s="7"/>
      <c r="F4" s="8"/>
      <c r="H4" s="19"/>
      <c r="I4" s="445" t="s">
        <v>80</v>
      </c>
      <c r="J4" s="30" t="s">
        <v>1</v>
      </c>
      <c r="K4" s="31"/>
      <c r="L4" s="32"/>
      <c r="N4" s="5"/>
      <c r="O4" s="447" t="s">
        <v>80</v>
      </c>
      <c r="P4" s="46" t="s">
        <v>1</v>
      </c>
      <c r="Q4" s="47"/>
      <c r="R4" s="48"/>
      <c r="T4" s="449" t="s">
        <v>1</v>
      </c>
      <c r="U4" s="269" t="s">
        <v>34</v>
      </c>
      <c r="V4" s="290"/>
      <c r="W4" s="291"/>
      <c r="X4" s="270" t="s">
        <v>35</v>
      </c>
      <c r="Y4" s="292"/>
      <c r="Z4" s="291"/>
      <c r="AA4" s="271" t="s">
        <v>257</v>
      </c>
      <c r="AB4" s="292"/>
      <c r="AC4" s="291"/>
      <c r="AD4" s="271" t="s">
        <v>258</v>
      </c>
      <c r="AE4" s="292"/>
      <c r="AF4" s="291"/>
      <c r="AG4" s="270" t="s">
        <v>30</v>
      </c>
      <c r="AH4" s="292"/>
      <c r="AI4" s="291"/>
      <c r="AJ4" s="270" t="s">
        <v>259</v>
      </c>
      <c r="AK4" s="292"/>
      <c r="AL4" s="291"/>
      <c r="AM4" s="270" t="s">
        <v>39</v>
      </c>
      <c r="AN4" s="292"/>
      <c r="AO4" s="291"/>
      <c r="AP4" s="270" t="s">
        <v>260</v>
      </c>
      <c r="AQ4" s="292"/>
      <c r="AR4" s="293"/>
      <c r="AS4" s="272" t="s">
        <v>220</v>
      </c>
      <c r="AT4" s="294"/>
      <c r="AU4" s="295"/>
    </row>
    <row r="5" spans="2:47" x14ac:dyDescent="0.2">
      <c r="B5" s="5"/>
      <c r="C5" s="446"/>
      <c r="D5" s="10">
        <v>2022</v>
      </c>
      <c r="E5" s="10">
        <v>2023</v>
      </c>
      <c r="F5" s="9">
        <v>2024</v>
      </c>
      <c r="H5" s="19"/>
      <c r="I5" s="446"/>
      <c r="J5" s="34">
        <f>EDATE(K5,-12)</f>
        <v>44926</v>
      </c>
      <c r="K5" s="33">
        <f>EDATE(L5,-12)</f>
        <v>45291</v>
      </c>
      <c r="L5" s="33">
        <v>45657</v>
      </c>
      <c r="N5" s="20" t="s">
        <v>81</v>
      </c>
      <c r="O5" s="448"/>
      <c r="P5" s="50">
        <v>2022</v>
      </c>
      <c r="Q5" s="49">
        <v>2023</v>
      </c>
      <c r="R5" s="49">
        <v>2024</v>
      </c>
      <c r="T5" s="450"/>
      <c r="U5" s="273">
        <v>2024</v>
      </c>
      <c r="V5" s="273">
        <v>2023</v>
      </c>
      <c r="W5" s="273">
        <v>2022</v>
      </c>
      <c r="X5" s="273">
        <v>2024</v>
      </c>
      <c r="Y5" s="273">
        <v>2023</v>
      </c>
      <c r="Z5" s="273">
        <v>2022</v>
      </c>
      <c r="AA5" s="273">
        <v>2024</v>
      </c>
      <c r="AB5" s="273">
        <v>2023</v>
      </c>
      <c r="AC5" s="273">
        <v>2022</v>
      </c>
      <c r="AD5" s="273">
        <v>2024</v>
      </c>
      <c r="AE5" s="273">
        <v>2023</v>
      </c>
      <c r="AF5" s="273">
        <v>2022</v>
      </c>
      <c r="AG5" s="273">
        <v>2024</v>
      </c>
      <c r="AH5" s="273">
        <v>2023</v>
      </c>
      <c r="AI5" s="273">
        <v>2022</v>
      </c>
      <c r="AJ5" s="273">
        <v>2024</v>
      </c>
      <c r="AK5" s="273">
        <v>2023</v>
      </c>
      <c r="AL5" s="273">
        <v>2022</v>
      </c>
      <c r="AM5" s="273">
        <v>2024</v>
      </c>
      <c r="AN5" s="273">
        <v>2023</v>
      </c>
      <c r="AO5" s="273">
        <v>2022</v>
      </c>
      <c r="AP5" s="273">
        <v>2024</v>
      </c>
      <c r="AQ5" s="273">
        <v>2023</v>
      </c>
      <c r="AR5" s="274">
        <v>2022</v>
      </c>
      <c r="AS5" s="275">
        <v>2024</v>
      </c>
      <c r="AT5" s="276">
        <v>2023</v>
      </c>
      <c r="AU5" s="276">
        <v>2022</v>
      </c>
    </row>
    <row r="6" spans="2:47" x14ac:dyDescent="0.2">
      <c r="B6" s="11" t="s">
        <v>2</v>
      </c>
      <c r="C6" s="12"/>
      <c r="D6" s="14">
        <v>3416767</v>
      </c>
      <c r="E6" s="13">
        <v>5772137</v>
      </c>
      <c r="F6" s="15">
        <v>6759161</v>
      </c>
      <c r="H6" s="20" t="s">
        <v>29</v>
      </c>
      <c r="I6" s="35"/>
      <c r="J6" s="37"/>
      <c r="K6" s="36"/>
      <c r="L6" s="36"/>
      <c r="N6" s="20" t="s">
        <v>82</v>
      </c>
      <c r="O6" s="51"/>
      <c r="P6" s="53">
        <v>2338572</v>
      </c>
      <c r="Q6" s="52">
        <v>3938452</v>
      </c>
      <c r="R6" s="59">
        <v>5524532</v>
      </c>
      <c r="T6" s="277" t="s">
        <v>261</v>
      </c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278"/>
      <c r="AS6" s="279"/>
      <c r="AT6" s="35"/>
      <c r="AU6" s="35"/>
    </row>
    <row r="7" spans="2:47" x14ac:dyDescent="0.2">
      <c r="B7" s="11" t="s">
        <v>3</v>
      </c>
      <c r="C7" s="12"/>
      <c r="D7" s="14">
        <v>-319542</v>
      </c>
      <c r="E7" s="15">
        <v>-559928</v>
      </c>
      <c r="F7" s="15">
        <v>-791837</v>
      </c>
      <c r="H7" s="19" t="s">
        <v>30</v>
      </c>
      <c r="I7" s="38">
        <v>18</v>
      </c>
      <c r="J7" s="14">
        <v>57443900</v>
      </c>
      <c r="K7" s="15">
        <v>62400249</v>
      </c>
      <c r="L7" s="15">
        <v>55480410</v>
      </c>
      <c r="N7" s="19" t="s">
        <v>83</v>
      </c>
      <c r="O7" s="54"/>
      <c r="P7" s="56"/>
      <c r="Q7" s="55"/>
      <c r="R7" s="56"/>
      <c r="T7" s="280" t="s">
        <v>262</v>
      </c>
      <c r="U7" s="281">
        <v>0</v>
      </c>
      <c r="V7" s="281">
        <v>0</v>
      </c>
      <c r="W7" s="281">
        <v>0</v>
      </c>
      <c r="X7" s="281">
        <v>121407</v>
      </c>
      <c r="Y7" s="281">
        <v>42659</v>
      </c>
      <c r="Z7" s="281">
        <v>259457</v>
      </c>
      <c r="AA7" s="281">
        <v>0</v>
      </c>
      <c r="AB7" s="281">
        <v>0</v>
      </c>
      <c r="AC7" s="281">
        <v>0</v>
      </c>
      <c r="AD7" s="281">
        <v>2397783</v>
      </c>
      <c r="AE7" s="281">
        <v>1717819</v>
      </c>
      <c r="AF7" s="281">
        <v>582748</v>
      </c>
      <c r="AG7" s="281">
        <v>0</v>
      </c>
      <c r="AH7" s="281">
        <v>0</v>
      </c>
      <c r="AI7" s="281">
        <v>0</v>
      </c>
      <c r="AJ7" s="281">
        <v>48</v>
      </c>
      <c r="AK7" s="281">
        <v>42</v>
      </c>
      <c r="AL7" s="281">
        <v>591</v>
      </c>
      <c r="AM7" s="281">
        <v>0</v>
      </c>
      <c r="AN7" s="281">
        <v>0</v>
      </c>
      <c r="AO7" s="281">
        <v>0</v>
      </c>
      <c r="AP7" s="281">
        <v>13642</v>
      </c>
      <c r="AQ7" s="281">
        <v>0</v>
      </c>
      <c r="AR7" s="282">
        <v>0</v>
      </c>
      <c r="AS7" s="18" cm="1">
        <f t="array" ref="AS7">SUM(_xlfn._xlws.FILTER($U7:$AR7, ISNUMBER(SEARCH("2024", $U$5:$AR$5))))</f>
        <v>2532880</v>
      </c>
      <c r="AT7" s="17" cm="1">
        <f t="array" ref="AT7">SUM(_xlfn._xlws.FILTER($U7:$AR7, ISNUMBER(SEARCH("2023", $U$5:$AR$5))))</f>
        <v>1760520</v>
      </c>
      <c r="AU7" s="17" cm="1">
        <f t="array" ref="AU7">SUM(_xlfn._xlws.FILTER($U7:$AR7, ISNUMBER(SEARCH("2022", $U$5:$AR$5))))</f>
        <v>842796</v>
      </c>
    </row>
    <row r="8" spans="2:47" x14ac:dyDescent="0.2">
      <c r="B8" s="11" t="s">
        <v>4</v>
      </c>
      <c r="C8" s="16">
        <v>6</v>
      </c>
      <c r="D8" s="18">
        <v>3097225</v>
      </c>
      <c r="E8" s="17">
        <v>5212209</v>
      </c>
      <c r="F8" s="17">
        <v>5967324</v>
      </c>
      <c r="H8" s="19" t="s">
        <v>31</v>
      </c>
      <c r="I8" s="38">
        <v>19</v>
      </c>
      <c r="J8" s="14">
        <v>127387</v>
      </c>
      <c r="K8" s="15">
        <v>114321</v>
      </c>
      <c r="L8" s="15">
        <v>250635</v>
      </c>
      <c r="N8" s="19" t="s">
        <v>84</v>
      </c>
      <c r="O8" s="54"/>
      <c r="P8" s="56">
        <v>-15632</v>
      </c>
      <c r="Q8" s="55">
        <v>-15069</v>
      </c>
      <c r="R8" s="56">
        <v>-13222</v>
      </c>
      <c r="T8" s="283" t="s">
        <v>263</v>
      </c>
      <c r="U8" s="281">
        <v>0</v>
      </c>
      <c r="V8" s="281">
        <v>0</v>
      </c>
      <c r="W8" s="281">
        <v>0</v>
      </c>
      <c r="X8" s="281">
        <v>1037280</v>
      </c>
      <c r="Y8" s="281">
        <v>769697</v>
      </c>
      <c r="Z8" s="281">
        <v>817134</v>
      </c>
      <c r="AA8" s="281">
        <v>0</v>
      </c>
      <c r="AB8" s="281">
        <v>0</v>
      </c>
      <c r="AC8" s="281">
        <v>0</v>
      </c>
      <c r="AD8" s="281">
        <v>0</v>
      </c>
      <c r="AE8" s="281">
        <v>0</v>
      </c>
      <c r="AF8" s="281">
        <v>0</v>
      </c>
      <c r="AG8" s="281">
        <v>0</v>
      </c>
      <c r="AH8" s="281">
        <v>0</v>
      </c>
      <c r="AI8" s="281">
        <v>0</v>
      </c>
      <c r="AJ8" s="281">
        <v>87</v>
      </c>
      <c r="AK8" s="281">
        <v>87</v>
      </c>
      <c r="AL8" s="281">
        <v>41</v>
      </c>
      <c r="AM8" s="281">
        <v>0</v>
      </c>
      <c r="AN8" s="281">
        <v>15</v>
      </c>
      <c r="AO8" s="281">
        <v>3</v>
      </c>
      <c r="AP8" s="281">
        <v>50204</v>
      </c>
      <c r="AQ8" s="281">
        <v>27198</v>
      </c>
      <c r="AR8" s="282">
        <v>22415</v>
      </c>
      <c r="AS8" s="18" cm="1">
        <f t="array" ref="AS8">SUM(_xlfn._xlws.FILTER($U8:$AR8, ISNUMBER(SEARCH("2024", $U$5:$AR$5))))</f>
        <v>1087571</v>
      </c>
      <c r="AT8" s="17" cm="1">
        <f t="array" ref="AT8">SUM(_xlfn._xlws.FILTER($U8:$AR8, ISNUMBER(SEARCH("2023", $U$5:$AR$5))))</f>
        <v>796997</v>
      </c>
      <c r="AU8" s="17" cm="1">
        <f t="array" ref="AU8">SUM(_xlfn._xlws.FILTER($U8:$AR8, ISNUMBER(SEARCH("2022", $U$5:$AR$5))))</f>
        <v>839593</v>
      </c>
    </row>
    <row r="9" spans="2:47" x14ac:dyDescent="0.2">
      <c r="B9" s="11"/>
      <c r="C9" s="16"/>
      <c r="D9" s="14"/>
      <c r="E9" s="15"/>
      <c r="F9" s="15"/>
      <c r="H9" s="19"/>
      <c r="I9" s="38"/>
      <c r="J9" s="14"/>
      <c r="K9" s="15"/>
      <c r="L9" s="15"/>
      <c r="N9" s="20" t="s">
        <v>85</v>
      </c>
      <c r="O9" s="54"/>
      <c r="P9" s="56"/>
      <c r="Q9" s="55"/>
      <c r="R9" s="56"/>
      <c r="T9" s="283" t="s">
        <v>264</v>
      </c>
      <c r="U9" s="281">
        <v>0</v>
      </c>
      <c r="V9" s="281">
        <v>0</v>
      </c>
      <c r="W9" s="281">
        <v>0</v>
      </c>
      <c r="X9" s="281">
        <v>852982</v>
      </c>
      <c r="Y9" s="281">
        <v>1328997</v>
      </c>
      <c r="Z9" s="281">
        <v>1354673</v>
      </c>
      <c r="AA9" s="281">
        <v>0</v>
      </c>
      <c r="AB9" s="281">
        <v>0</v>
      </c>
      <c r="AC9" s="281">
        <v>0</v>
      </c>
      <c r="AD9" s="281">
        <v>0</v>
      </c>
      <c r="AE9" s="281">
        <v>0</v>
      </c>
      <c r="AF9" s="281">
        <v>0</v>
      </c>
      <c r="AG9" s="281">
        <v>0</v>
      </c>
      <c r="AH9" s="281">
        <v>0</v>
      </c>
      <c r="AI9" s="281">
        <v>0</v>
      </c>
      <c r="AJ9" s="281">
        <v>12</v>
      </c>
      <c r="AK9" s="281">
        <v>25</v>
      </c>
      <c r="AL9" s="281">
        <v>13</v>
      </c>
      <c r="AM9" s="281">
        <v>0</v>
      </c>
      <c r="AN9" s="281">
        <v>0</v>
      </c>
      <c r="AO9" s="281">
        <v>0</v>
      </c>
      <c r="AP9" s="281">
        <v>369752</v>
      </c>
      <c r="AQ9" s="281">
        <v>301462</v>
      </c>
      <c r="AR9" s="282">
        <v>233710</v>
      </c>
      <c r="AS9" s="18" cm="1">
        <f t="array" ref="AS9">SUM(_xlfn._xlws.FILTER($U9:$AR9, ISNUMBER(SEARCH("2024", $U$5:$AR$5))))</f>
        <v>1222746</v>
      </c>
      <c r="AT9" s="17" cm="1">
        <f t="array" ref="AT9">SUM(_xlfn._xlws.FILTER($U9:$AR9, ISNUMBER(SEARCH("2023", $U$5:$AR$5))))</f>
        <v>1630484</v>
      </c>
      <c r="AU9" s="17" cm="1">
        <f t="array" ref="AU9">SUM(_xlfn._xlws.FILTER($U9:$AR9, ISNUMBER(SEARCH("2022", $U$5:$AR$5))))</f>
        <v>1588396</v>
      </c>
    </row>
    <row r="10" spans="2:47" ht="48" x14ac:dyDescent="0.2">
      <c r="B10" s="19" t="s">
        <v>5</v>
      </c>
      <c r="C10" s="16"/>
      <c r="D10" s="14">
        <v>1909597</v>
      </c>
      <c r="E10" s="15">
        <v>2125973</v>
      </c>
      <c r="F10" s="15">
        <v>2424697</v>
      </c>
      <c r="H10" s="19" t="s">
        <v>32</v>
      </c>
      <c r="I10" s="38">
        <v>20</v>
      </c>
      <c r="J10" s="14">
        <v>354937</v>
      </c>
      <c r="K10" s="15">
        <v>364135</v>
      </c>
      <c r="L10" s="15">
        <v>374973</v>
      </c>
      <c r="N10" s="64" t="s">
        <v>86</v>
      </c>
      <c r="O10" s="54" t="s">
        <v>87</v>
      </c>
      <c r="P10" s="56">
        <v>23944</v>
      </c>
      <c r="Q10" s="55">
        <v>25678</v>
      </c>
      <c r="R10" s="56">
        <v>24015</v>
      </c>
      <c r="T10" s="283" t="s">
        <v>265</v>
      </c>
      <c r="U10" s="281">
        <v>0</v>
      </c>
      <c r="V10" s="281">
        <v>0</v>
      </c>
      <c r="W10" s="281">
        <v>0</v>
      </c>
      <c r="X10" s="281">
        <v>4339256</v>
      </c>
      <c r="Y10" s="281">
        <v>3581029</v>
      </c>
      <c r="Z10" s="281">
        <v>3526177</v>
      </c>
      <c r="AA10" s="281">
        <v>0</v>
      </c>
      <c r="AB10" s="281">
        <v>0</v>
      </c>
      <c r="AC10" s="281">
        <v>0</v>
      </c>
      <c r="AD10" s="281">
        <v>0</v>
      </c>
      <c r="AE10" s="281">
        <v>0</v>
      </c>
      <c r="AF10" s="281">
        <v>0</v>
      </c>
      <c r="AG10" s="281">
        <v>0</v>
      </c>
      <c r="AH10" s="281">
        <v>0</v>
      </c>
      <c r="AI10" s="281">
        <v>0</v>
      </c>
      <c r="AJ10" s="281">
        <v>88</v>
      </c>
      <c r="AK10" s="281">
        <v>121</v>
      </c>
      <c r="AL10" s="281">
        <v>69</v>
      </c>
      <c r="AM10" s="281">
        <v>7</v>
      </c>
      <c r="AN10" s="281">
        <v>50</v>
      </c>
      <c r="AO10" s="281">
        <v>24</v>
      </c>
      <c r="AP10" s="281">
        <v>320645</v>
      </c>
      <c r="AQ10" s="281">
        <v>228751</v>
      </c>
      <c r="AR10" s="282">
        <v>174394</v>
      </c>
      <c r="AS10" s="18" cm="1">
        <f t="array" ref="AS10">SUM(_xlfn._xlws.FILTER($U10:$AR10, ISNUMBER(SEARCH("2024", $U$5:$AR$5))))</f>
        <v>4659996</v>
      </c>
      <c r="AT10" s="17" cm="1">
        <f t="array" ref="AT10">SUM(_xlfn._xlws.FILTER($U10:$AR10, ISNUMBER(SEARCH("2023", $U$5:$AR$5))))</f>
        <v>3809951</v>
      </c>
      <c r="AU10" s="17" cm="1">
        <f t="array" ref="AU10">SUM(_xlfn._xlws.FILTER($U10:$AR10, ISNUMBER(SEARCH("2022", $U$5:$AR$5))))</f>
        <v>3700664</v>
      </c>
    </row>
    <row r="11" spans="2:47" ht="24" x14ac:dyDescent="0.2">
      <c r="B11" s="19" t="s">
        <v>6</v>
      </c>
      <c r="C11" s="16"/>
      <c r="D11" s="14">
        <v>-770312</v>
      </c>
      <c r="E11" s="15">
        <v>-961150</v>
      </c>
      <c r="F11" s="15">
        <v>-1144244</v>
      </c>
      <c r="H11" s="19" t="s">
        <v>33</v>
      </c>
      <c r="I11" s="38">
        <v>21</v>
      </c>
      <c r="J11" s="14">
        <v>0</v>
      </c>
      <c r="K11" s="15">
        <v>0</v>
      </c>
      <c r="L11" s="15">
        <v>0</v>
      </c>
      <c r="N11" s="64" t="s">
        <v>88</v>
      </c>
      <c r="O11" s="54" t="s">
        <v>89</v>
      </c>
      <c r="P11" s="56">
        <v>193299</v>
      </c>
      <c r="Q11" s="55">
        <v>210260</v>
      </c>
      <c r="R11" s="56">
        <v>223724</v>
      </c>
      <c r="T11" s="283" t="s">
        <v>266</v>
      </c>
      <c r="U11" s="281">
        <v>0</v>
      </c>
      <c r="V11" s="281">
        <v>0</v>
      </c>
      <c r="W11" s="281">
        <v>0</v>
      </c>
      <c r="X11" s="281">
        <v>1244345</v>
      </c>
      <c r="Y11" s="281">
        <v>874433</v>
      </c>
      <c r="Z11" s="281">
        <v>863955</v>
      </c>
      <c r="AA11" s="281">
        <v>0</v>
      </c>
      <c r="AB11" s="281">
        <v>0</v>
      </c>
      <c r="AC11" s="281">
        <v>0</v>
      </c>
      <c r="AD11" s="281">
        <v>0</v>
      </c>
      <c r="AE11" s="281">
        <v>0</v>
      </c>
      <c r="AF11" s="281">
        <v>0</v>
      </c>
      <c r="AG11" s="281">
        <v>0</v>
      </c>
      <c r="AH11" s="281">
        <v>0</v>
      </c>
      <c r="AI11" s="281">
        <v>0</v>
      </c>
      <c r="AJ11" s="281">
        <v>219</v>
      </c>
      <c r="AK11" s="281">
        <v>71</v>
      </c>
      <c r="AL11" s="281">
        <v>60</v>
      </c>
      <c r="AM11" s="281">
        <v>1</v>
      </c>
      <c r="AN11" s="281">
        <v>80</v>
      </c>
      <c r="AO11" s="281">
        <v>220</v>
      </c>
      <c r="AP11" s="281">
        <v>276638</v>
      </c>
      <c r="AQ11" s="281">
        <v>298834</v>
      </c>
      <c r="AR11" s="282">
        <v>341830</v>
      </c>
      <c r="AS11" s="18" cm="1">
        <f t="array" ref="AS11">SUM(_xlfn._xlws.FILTER($U11:$AR11, ISNUMBER(SEARCH("2024", $U$5:$AR$5))))</f>
        <v>1521203</v>
      </c>
      <c r="AT11" s="17" cm="1">
        <f t="array" ref="AT11">SUM(_xlfn._xlws.FILTER($U11:$AR11, ISNUMBER(SEARCH("2023", $U$5:$AR$5))))</f>
        <v>1173418</v>
      </c>
      <c r="AU11" s="17" cm="1">
        <f t="array" ref="AU11">SUM(_xlfn._xlws.FILTER($U11:$AR11, ISNUMBER(SEARCH("2022", $U$5:$AR$5))))</f>
        <v>1206065</v>
      </c>
    </row>
    <row r="12" spans="2:47" ht="24" x14ac:dyDescent="0.2">
      <c r="B12" s="19" t="s">
        <v>7</v>
      </c>
      <c r="C12" s="16">
        <v>7</v>
      </c>
      <c r="D12" s="18">
        <v>1139285</v>
      </c>
      <c r="E12" s="17">
        <v>1164823</v>
      </c>
      <c r="F12" s="17">
        <v>1280453</v>
      </c>
      <c r="H12" s="19" t="s">
        <v>34</v>
      </c>
      <c r="I12" s="38">
        <v>22.1</v>
      </c>
      <c r="J12" s="14">
        <v>584519</v>
      </c>
      <c r="K12" s="15">
        <v>2981364</v>
      </c>
      <c r="L12" s="15">
        <v>6051011</v>
      </c>
      <c r="N12" s="20" t="s">
        <v>90</v>
      </c>
      <c r="O12" s="54"/>
      <c r="P12" s="56"/>
      <c r="Q12" s="55"/>
      <c r="R12" s="56"/>
      <c r="T12" s="283" t="s">
        <v>267</v>
      </c>
      <c r="U12" s="281">
        <v>0</v>
      </c>
      <c r="V12" s="281">
        <v>0</v>
      </c>
      <c r="W12" s="281">
        <v>0</v>
      </c>
      <c r="X12" s="281">
        <v>1778787</v>
      </c>
      <c r="Y12" s="281">
        <v>1143591</v>
      </c>
      <c r="Z12" s="281">
        <v>1744964</v>
      </c>
      <c r="AA12" s="281">
        <v>0</v>
      </c>
      <c r="AB12" s="281">
        <v>0</v>
      </c>
      <c r="AC12" s="281">
        <v>0</v>
      </c>
      <c r="AD12" s="281">
        <v>0</v>
      </c>
      <c r="AE12" s="281">
        <v>0</v>
      </c>
      <c r="AF12" s="281">
        <v>0</v>
      </c>
      <c r="AG12" s="281">
        <v>0</v>
      </c>
      <c r="AH12" s="281">
        <v>0</v>
      </c>
      <c r="AI12" s="281">
        <v>0</v>
      </c>
      <c r="AJ12" s="281">
        <v>165</v>
      </c>
      <c r="AK12" s="281">
        <v>180</v>
      </c>
      <c r="AL12" s="281">
        <v>77</v>
      </c>
      <c r="AM12" s="281">
        <v>18</v>
      </c>
      <c r="AN12" s="281">
        <v>37</v>
      </c>
      <c r="AO12" s="281">
        <v>4</v>
      </c>
      <c r="AP12" s="281">
        <v>297080</v>
      </c>
      <c r="AQ12" s="281">
        <v>223130</v>
      </c>
      <c r="AR12" s="282">
        <v>427116</v>
      </c>
      <c r="AS12" s="18" cm="1">
        <f t="array" ref="AS12">SUM(_xlfn._xlws.FILTER($U12:$AR12, ISNUMBER(SEARCH("2024", $U$5:$AR$5))))</f>
        <v>2076050</v>
      </c>
      <c r="AT12" s="17" cm="1">
        <f t="array" ref="AT12">SUM(_xlfn._xlws.FILTER($U12:$AR12, ISNUMBER(SEARCH("2023", $U$5:$AR$5))))</f>
        <v>1366938</v>
      </c>
      <c r="AU12" s="17" cm="1">
        <f t="array" ref="AU12">SUM(_xlfn._xlws.FILTER($U12:$AR12, ISNUMBER(SEARCH("2022", $U$5:$AR$5))))</f>
        <v>2172161</v>
      </c>
    </row>
    <row r="13" spans="2:47" ht="24" x14ac:dyDescent="0.2">
      <c r="B13" s="19"/>
      <c r="C13" s="16"/>
      <c r="D13" s="14"/>
      <c r="E13" s="15"/>
      <c r="F13" s="15"/>
      <c r="H13" s="19" t="s">
        <v>35</v>
      </c>
      <c r="I13" s="38">
        <v>22.2</v>
      </c>
      <c r="J13" s="14">
        <v>59856354</v>
      </c>
      <c r="K13" s="15">
        <v>60206811</v>
      </c>
      <c r="L13" s="15">
        <v>72975118</v>
      </c>
      <c r="N13" s="64" t="s">
        <v>91</v>
      </c>
      <c r="O13" s="54"/>
      <c r="P13" s="56">
        <v>0</v>
      </c>
      <c r="Q13" s="55">
        <v>0</v>
      </c>
      <c r="R13" s="56">
        <v>0</v>
      </c>
      <c r="T13" s="283" t="s">
        <v>268</v>
      </c>
      <c r="U13" s="281">
        <v>0</v>
      </c>
      <c r="V13" s="281">
        <v>0</v>
      </c>
      <c r="W13" s="281">
        <v>0</v>
      </c>
      <c r="X13" s="281">
        <v>3945151</v>
      </c>
      <c r="Y13" s="281">
        <v>2288023</v>
      </c>
      <c r="Z13" s="281">
        <v>3762377</v>
      </c>
      <c r="AA13" s="281">
        <v>0</v>
      </c>
      <c r="AB13" s="281">
        <v>0</v>
      </c>
      <c r="AC13" s="281">
        <v>0</v>
      </c>
      <c r="AD13" s="281">
        <v>0</v>
      </c>
      <c r="AE13" s="281">
        <v>0</v>
      </c>
      <c r="AF13" s="281">
        <v>0</v>
      </c>
      <c r="AG13" s="281">
        <v>0</v>
      </c>
      <c r="AH13" s="281">
        <v>0</v>
      </c>
      <c r="AI13" s="281">
        <v>0</v>
      </c>
      <c r="AJ13" s="281">
        <v>547</v>
      </c>
      <c r="AK13" s="281">
        <v>200</v>
      </c>
      <c r="AL13" s="281">
        <v>87</v>
      </c>
      <c r="AM13" s="281">
        <v>0</v>
      </c>
      <c r="AN13" s="281">
        <v>16</v>
      </c>
      <c r="AO13" s="281">
        <v>51</v>
      </c>
      <c r="AP13" s="281">
        <v>684975</v>
      </c>
      <c r="AQ13" s="281">
        <v>920854</v>
      </c>
      <c r="AR13" s="282">
        <v>1579557</v>
      </c>
      <c r="AS13" s="18" cm="1">
        <f t="array" ref="AS13">SUM(_xlfn._xlws.FILTER($U13:$AR13, ISNUMBER(SEARCH("2024", $U$5:$AR$5))))</f>
        <v>4630673</v>
      </c>
      <c r="AT13" s="17" cm="1">
        <f t="array" ref="AT13">SUM(_xlfn._xlws.FILTER($U13:$AR13, ISNUMBER(SEARCH("2023", $U$5:$AR$5))))</f>
        <v>3209093</v>
      </c>
      <c r="AU13" s="17" cm="1">
        <f t="array" ref="AU13">SUM(_xlfn._xlws.FILTER($U13:$AR13, ISNUMBER(SEARCH("2022", $U$5:$AR$5))))</f>
        <v>5342072</v>
      </c>
    </row>
    <row r="14" spans="2:47" x14ac:dyDescent="0.2">
      <c r="B14" s="19" t="s">
        <v>8</v>
      </c>
      <c r="C14" s="16">
        <v>8</v>
      </c>
      <c r="D14" s="14">
        <v>-3560</v>
      </c>
      <c r="E14" s="15">
        <v>-2842</v>
      </c>
      <c r="F14" s="15">
        <v>59165</v>
      </c>
      <c r="H14" s="19" t="s">
        <v>36</v>
      </c>
      <c r="I14" s="38">
        <v>23</v>
      </c>
      <c r="J14" s="14">
        <v>27114944</v>
      </c>
      <c r="K14" s="15">
        <v>29887949</v>
      </c>
      <c r="L14" s="15">
        <v>37416023</v>
      </c>
      <c r="N14" s="64" t="s">
        <v>92</v>
      </c>
      <c r="O14" s="54" t="s">
        <v>93</v>
      </c>
      <c r="P14" s="56">
        <v>-7551</v>
      </c>
      <c r="Q14" s="55">
        <v>-655</v>
      </c>
      <c r="R14" s="56">
        <v>-8826</v>
      </c>
      <c r="T14" s="283" t="s">
        <v>269</v>
      </c>
      <c r="U14" s="281">
        <v>0</v>
      </c>
      <c r="V14" s="281">
        <v>0</v>
      </c>
      <c r="W14" s="281">
        <v>0</v>
      </c>
      <c r="X14" s="281">
        <v>1088343</v>
      </c>
      <c r="Y14" s="281">
        <v>655160</v>
      </c>
      <c r="Z14" s="281">
        <v>1138401</v>
      </c>
      <c r="AA14" s="281">
        <v>0</v>
      </c>
      <c r="AB14" s="281">
        <v>0</v>
      </c>
      <c r="AC14" s="281">
        <v>0</v>
      </c>
      <c r="AD14" s="281">
        <v>0</v>
      </c>
      <c r="AE14" s="281">
        <v>0</v>
      </c>
      <c r="AF14" s="281">
        <v>0</v>
      </c>
      <c r="AG14" s="281">
        <v>0</v>
      </c>
      <c r="AH14" s="281">
        <v>0</v>
      </c>
      <c r="AI14" s="281">
        <v>0</v>
      </c>
      <c r="AJ14" s="281">
        <v>115</v>
      </c>
      <c r="AK14" s="281">
        <v>34</v>
      </c>
      <c r="AL14" s="281">
        <v>28</v>
      </c>
      <c r="AM14" s="281">
        <v>32</v>
      </c>
      <c r="AN14" s="281">
        <v>53</v>
      </c>
      <c r="AO14" s="281">
        <v>27</v>
      </c>
      <c r="AP14" s="281">
        <v>222896</v>
      </c>
      <c r="AQ14" s="281">
        <v>297334</v>
      </c>
      <c r="AR14" s="282">
        <v>36695</v>
      </c>
      <c r="AS14" s="18" cm="1">
        <f t="array" ref="AS14">SUM(_xlfn._xlws.FILTER($U14:$AR14, ISNUMBER(SEARCH("2024", $U$5:$AR$5))))</f>
        <v>1311386</v>
      </c>
      <c r="AT14" s="17" cm="1">
        <f t="array" ref="AT14">SUM(_xlfn._xlws.FILTER($U14:$AR14, ISNUMBER(SEARCH("2023", $U$5:$AR$5))))</f>
        <v>952581</v>
      </c>
      <c r="AU14" s="17" cm="1">
        <f t="array" ref="AU14">SUM(_xlfn._xlws.FILTER($U14:$AR14, ISNUMBER(SEARCH("2022", $U$5:$AR$5))))</f>
        <v>1175151</v>
      </c>
    </row>
    <row r="15" spans="2:47" ht="36" x14ac:dyDescent="0.2">
      <c r="B15" s="19" t="s">
        <v>9</v>
      </c>
      <c r="C15" s="16">
        <v>9</v>
      </c>
      <c r="D15" s="14">
        <v>4566</v>
      </c>
      <c r="E15" s="15">
        <v>9198</v>
      </c>
      <c r="F15" s="15">
        <v>10837</v>
      </c>
      <c r="H15" s="19"/>
      <c r="I15" s="38"/>
      <c r="J15" s="14"/>
      <c r="K15" s="15"/>
      <c r="L15" s="15"/>
      <c r="N15" s="64" t="s">
        <v>94</v>
      </c>
      <c r="O15" s="54" t="s">
        <v>93</v>
      </c>
      <c r="P15" s="56">
        <v>-151130</v>
      </c>
      <c r="Q15" s="55">
        <v>-46126</v>
      </c>
      <c r="R15" s="56">
        <v>-630433</v>
      </c>
      <c r="T15" s="283" t="s">
        <v>270</v>
      </c>
      <c r="U15" s="281">
        <v>0</v>
      </c>
      <c r="V15" s="281">
        <v>0</v>
      </c>
      <c r="W15" s="281">
        <v>0</v>
      </c>
      <c r="X15" s="281">
        <v>4333036</v>
      </c>
      <c r="Y15" s="281">
        <v>2156795</v>
      </c>
      <c r="Z15" s="281">
        <v>2293081</v>
      </c>
      <c r="AA15" s="281">
        <v>0</v>
      </c>
      <c r="AB15" s="281">
        <v>0</v>
      </c>
      <c r="AC15" s="281">
        <v>0</v>
      </c>
      <c r="AD15" s="281">
        <v>0</v>
      </c>
      <c r="AE15" s="281">
        <v>0</v>
      </c>
      <c r="AF15" s="281">
        <v>0</v>
      </c>
      <c r="AG15" s="281">
        <v>0</v>
      </c>
      <c r="AH15" s="281">
        <v>0</v>
      </c>
      <c r="AI15" s="281">
        <v>0</v>
      </c>
      <c r="AJ15" s="281">
        <v>968</v>
      </c>
      <c r="AK15" s="281">
        <v>398</v>
      </c>
      <c r="AL15" s="281">
        <v>338</v>
      </c>
      <c r="AM15" s="281">
        <v>135499</v>
      </c>
      <c r="AN15" s="281">
        <v>135499</v>
      </c>
      <c r="AO15" s="281">
        <v>135499</v>
      </c>
      <c r="AP15" s="281">
        <v>417962</v>
      </c>
      <c r="AQ15" s="281">
        <v>423059</v>
      </c>
      <c r="AR15" s="282">
        <v>773844</v>
      </c>
      <c r="AS15" s="18" cm="1">
        <f t="array" ref="AS15">SUM(_xlfn._xlws.FILTER($U15:$AR15, ISNUMBER(SEARCH("2024", $U$5:$AR$5))))</f>
        <v>4887465</v>
      </c>
      <c r="AT15" s="17" cm="1">
        <f t="array" ref="AT15">SUM(_xlfn._xlws.FILTER($U15:$AR15, ISNUMBER(SEARCH("2023", $U$5:$AR$5))))</f>
        <v>2715751</v>
      </c>
      <c r="AU15" s="17" cm="1">
        <f t="array" ref="AU15">SUM(_xlfn._xlws.FILTER($U15:$AR15, ISNUMBER(SEARCH("2022", $U$5:$AR$5))))</f>
        <v>3202762</v>
      </c>
    </row>
    <row r="16" spans="2:47" ht="36" x14ac:dyDescent="0.2">
      <c r="B16" s="19" t="s">
        <v>182</v>
      </c>
      <c r="C16" s="16">
        <v>10</v>
      </c>
      <c r="D16" s="14">
        <v>336112</v>
      </c>
      <c r="E16" s="15">
        <v>365977</v>
      </c>
      <c r="F16" s="15">
        <v>376790</v>
      </c>
      <c r="H16" s="19" t="s">
        <v>37</v>
      </c>
      <c r="I16" s="38">
        <v>24</v>
      </c>
      <c r="J16" s="14">
        <v>385387</v>
      </c>
      <c r="K16" s="15">
        <v>403904</v>
      </c>
      <c r="L16" s="15">
        <v>422412</v>
      </c>
      <c r="N16" s="20" t="s">
        <v>95</v>
      </c>
      <c r="O16" s="54"/>
      <c r="P16" s="56"/>
      <c r="Q16" s="55">
        <v>0</v>
      </c>
      <c r="R16" s="56">
        <v>0</v>
      </c>
      <c r="T16" s="283" t="s">
        <v>271</v>
      </c>
      <c r="U16" s="281">
        <v>0</v>
      </c>
      <c r="V16" s="281">
        <v>0</v>
      </c>
      <c r="W16" s="281">
        <v>0</v>
      </c>
      <c r="X16" s="281">
        <v>195807</v>
      </c>
      <c r="Y16" s="281">
        <v>251613</v>
      </c>
      <c r="Z16" s="281">
        <v>305556</v>
      </c>
      <c r="AA16" s="281">
        <v>0</v>
      </c>
      <c r="AB16" s="281">
        <v>0</v>
      </c>
      <c r="AC16" s="281">
        <v>0</v>
      </c>
      <c r="AD16" s="281">
        <v>0</v>
      </c>
      <c r="AE16" s="281">
        <v>0</v>
      </c>
      <c r="AF16" s="281">
        <v>0</v>
      </c>
      <c r="AG16" s="281">
        <v>0</v>
      </c>
      <c r="AH16" s="281">
        <v>0</v>
      </c>
      <c r="AI16" s="281">
        <v>0</v>
      </c>
      <c r="AJ16" s="281">
        <v>4894</v>
      </c>
      <c r="AK16" s="281">
        <v>41</v>
      </c>
      <c r="AL16" s="281">
        <v>50</v>
      </c>
      <c r="AM16" s="281">
        <v>2</v>
      </c>
      <c r="AN16" s="281">
        <v>4482</v>
      </c>
      <c r="AO16" s="281">
        <v>5063</v>
      </c>
      <c r="AP16" s="281">
        <v>19131</v>
      </c>
      <c r="AQ16" s="281">
        <v>13416</v>
      </c>
      <c r="AR16" s="282">
        <v>12452</v>
      </c>
      <c r="AS16" s="18" cm="1">
        <f t="array" ref="AS16">SUM(_xlfn._xlws.FILTER($U16:$AR16, ISNUMBER(SEARCH("2024", $U$5:$AR$5))))</f>
        <v>219834</v>
      </c>
      <c r="AT16" s="17" cm="1">
        <f t="array" ref="AT16">SUM(_xlfn._xlws.FILTER($U16:$AR16, ISNUMBER(SEARCH("2023", $U$5:$AR$5))))</f>
        <v>269552</v>
      </c>
      <c r="AU16" s="17" cm="1">
        <f t="array" ref="AU16">SUM(_xlfn._xlws.FILTER($U16:$AR16, ISNUMBER(SEARCH("2022", $U$5:$AR$5))))</f>
        <v>323121</v>
      </c>
    </row>
    <row r="17" spans="2:47" x14ac:dyDescent="0.2">
      <c r="B17" s="19" t="s">
        <v>176</v>
      </c>
      <c r="C17" s="16">
        <v>11</v>
      </c>
      <c r="D17" s="14">
        <v>918921</v>
      </c>
      <c r="E17" s="15">
        <v>274883</v>
      </c>
      <c r="F17" s="15">
        <v>1162004</v>
      </c>
      <c r="H17" s="19" t="s">
        <v>38</v>
      </c>
      <c r="I17" s="38">
        <v>30.1</v>
      </c>
      <c r="J17" s="14">
        <v>983</v>
      </c>
      <c r="K17" s="15">
        <v>890</v>
      </c>
      <c r="L17" s="15">
        <v>391</v>
      </c>
      <c r="N17" s="64" t="s">
        <v>96</v>
      </c>
      <c r="O17" s="54"/>
      <c r="P17" s="56">
        <v>0</v>
      </c>
      <c r="Q17" s="55">
        <v>0</v>
      </c>
      <c r="R17" s="56">
        <v>0</v>
      </c>
      <c r="T17" s="283" t="s">
        <v>272</v>
      </c>
      <c r="U17" s="281">
        <v>0</v>
      </c>
      <c r="V17" s="281">
        <v>0</v>
      </c>
      <c r="W17" s="281">
        <v>0</v>
      </c>
      <c r="X17" s="281">
        <v>5928869</v>
      </c>
      <c r="Y17" s="281">
        <v>5169646</v>
      </c>
      <c r="Z17" s="281">
        <v>4278686</v>
      </c>
      <c r="AA17" s="281">
        <v>0</v>
      </c>
      <c r="AB17" s="281">
        <v>0</v>
      </c>
      <c r="AC17" s="281">
        <v>0</v>
      </c>
      <c r="AD17" s="281">
        <v>0</v>
      </c>
      <c r="AE17" s="281">
        <v>0</v>
      </c>
      <c r="AF17" s="281">
        <v>0</v>
      </c>
      <c r="AG17" s="281">
        <v>0</v>
      </c>
      <c r="AH17" s="281">
        <v>0</v>
      </c>
      <c r="AI17" s="281">
        <v>0</v>
      </c>
      <c r="AJ17" s="281">
        <v>588</v>
      </c>
      <c r="AK17" s="281">
        <v>418</v>
      </c>
      <c r="AL17" s="281">
        <v>492</v>
      </c>
      <c r="AM17" s="281">
        <v>763</v>
      </c>
      <c r="AN17" s="281">
        <v>630</v>
      </c>
      <c r="AO17" s="281">
        <v>1093</v>
      </c>
      <c r="AP17" s="281">
        <v>2576998</v>
      </c>
      <c r="AQ17" s="281">
        <v>2371967</v>
      </c>
      <c r="AR17" s="282">
        <v>2921483</v>
      </c>
      <c r="AS17" s="18" cm="1">
        <f t="array" ref="AS17">SUM(_xlfn._xlws.FILTER($U17:$AR17, ISNUMBER(SEARCH("2024", $U$5:$AR$5))))</f>
        <v>8507218</v>
      </c>
      <c r="AT17" s="17" cm="1">
        <f t="array" ref="AT17">SUM(_xlfn._xlws.FILTER($U17:$AR17, ISNUMBER(SEARCH("2023", $U$5:$AR$5))))</f>
        <v>7542661</v>
      </c>
      <c r="AU17" s="17" cm="1">
        <f t="array" ref="AU17">SUM(_xlfn._xlws.FILTER($U17:$AR17, ISNUMBER(SEARCH("2022", $U$5:$AR$5))))</f>
        <v>7201754</v>
      </c>
    </row>
    <row r="18" spans="2:47" ht="24" x14ac:dyDescent="0.2">
      <c r="B18" s="19" t="s">
        <v>10</v>
      </c>
      <c r="C18" s="16">
        <v>24</v>
      </c>
      <c r="D18" s="14">
        <v>75587</v>
      </c>
      <c r="E18" s="15">
        <v>92507</v>
      </c>
      <c r="F18" s="15">
        <v>111015</v>
      </c>
      <c r="H18" s="19" t="s">
        <v>39</v>
      </c>
      <c r="I18" s="38">
        <v>25</v>
      </c>
      <c r="J18" s="14">
        <v>2368784</v>
      </c>
      <c r="K18" s="15">
        <v>2583333</v>
      </c>
      <c r="L18" s="15">
        <v>2943753</v>
      </c>
      <c r="N18" s="64" t="s">
        <v>92</v>
      </c>
      <c r="O18" s="54" t="s">
        <v>97</v>
      </c>
      <c r="P18" s="56">
        <v>0</v>
      </c>
      <c r="Q18" s="55">
        <v>0</v>
      </c>
      <c r="R18" s="56">
        <v>0</v>
      </c>
      <c r="T18" s="283" t="s">
        <v>273</v>
      </c>
      <c r="U18" s="281">
        <v>0</v>
      </c>
      <c r="V18" s="281">
        <v>0</v>
      </c>
      <c r="W18" s="281">
        <v>0</v>
      </c>
      <c r="X18" s="281">
        <v>6595374</v>
      </c>
      <c r="Y18" s="281">
        <v>6345694</v>
      </c>
      <c r="Z18" s="281">
        <v>6331430</v>
      </c>
      <c r="AA18" s="281">
        <v>0</v>
      </c>
      <c r="AB18" s="281">
        <v>0</v>
      </c>
      <c r="AC18" s="281">
        <v>0</v>
      </c>
      <c r="AD18" s="281">
        <v>0</v>
      </c>
      <c r="AE18" s="281">
        <v>0</v>
      </c>
      <c r="AF18" s="281">
        <v>0</v>
      </c>
      <c r="AG18" s="281">
        <v>0</v>
      </c>
      <c r="AH18" s="281">
        <v>0</v>
      </c>
      <c r="AI18" s="281">
        <v>0</v>
      </c>
      <c r="AJ18" s="281">
        <v>1994</v>
      </c>
      <c r="AK18" s="281">
        <v>1361</v>
      </c>
      <c r="AL18" s="281">
        <v>877</v>
      </c>
      <c r="AM18" s="281">
        <v>102</v>
      </c>
      <c r="AN18" s="281">
        <v>1017</v>
      </c>
      <c r="AO18" s="281">
        <v>1278</v>
      </c>
      <c r="AP18" s="281">
        <v>4210985</v>
      </c>
      <c r="AQ18" s="281">
        <v>4039447</v>
      </c>
      <c r="AR18" s="282">
        <v>4201641</v>
      </c>
      <c r="AS18" s="18" cm="1">
        <f t="array" ref="AS18">SUM(_xlfn._xlws.FILTER($U18:$AR18, ISNUMBER(SEARCH("2024", $U$5:$AR$5))))</f>
        <v>10808455</v>
      </c>
      <c r="AT18" s="17" cm="1">
        <f t="array" ref="AT18">SUM(_xlfn._xlws.FILTER($U18:$AR18, ISNUMBER(SEARCH("2023", $U$5:$AR$5))))</f>
        <v>10387519</v>
      </c>
      <c r="AU18" s="17" cm="1">
        <f t="array" ref="AU18">SUM(_xlfn._xlws.FILTER($U18:$AR18, ISNUMBER(SEARCH("2022", $U$5:$AR$5))))</f>
        <v>10535226</v>
      </c>
    </row>
    <row r="19" spans="2:47" x14ac:dyDescent="0.2">
      <c r="B19" s="19"/>
      <c r="C19" s="16"/>
      <c r="D19" s="14"/>
      <c r="E19" s="15"/>
      <c r="F19" s="15"/>
      <c r="H19" s="19" t="s">
        <v>40</v>
      </c>
      <c r="I19" s="38">
        <v>26</v>
      </c>
      <c r="J19" s="14">
        <v>0</v>
      </c>
      <c r="K19" s="15">
        <v>0</v>
      </c>
      <c r="L19" s="15">
        <v>0</v>
      </c>
      <c r="N19" s="64" t="s">
        <v>94</v>
      </c>
      <c r="O19" s="54" t="s">
        <v>97</v>
      </c>
      <c r="P19" s="56">
        <v>0</v>
      </c>
      <c r="Q19" s="55"/>
      <c r="R19" s="56"/>
      <c r="T19" s="283" t="s">
        <v>274</v>
      </c>
      <c r="U19" s="281">
        <v>0</v>
      </c>
      <c r="V19" s="281">
        <v>0</v>
      </c>
      <c r="W19" s="281">
        <v>0</v>
      </c>
      <c r="X19" s="281">
        <v>974624</v>
      </c>
      <c r="Y19" s="281">
        <v>797064</v>
      </c>
      <c r="Z19" s="281">
        <v>752150</v>
      </c>
      <c r="AA19" s="281">
        <v>0</v>
      </c>
      <c r="AB19" s="281">
        <v>0</v>
      </c>
      <c r="AC19" s="281">
        <v>0</v>
      </c>
      <c r="AD19" s="281">
        <v>0</v>
      </c>
      <c r="AE19" s="281">
        <v>0</v>
      </c>
      <c r="AF19" s="281">
        <v>0</v>
      </c>
      <c r="AG19" s="281">
        <v>0</v>
      </c>
      <c r="AH19" s="281">
        <v>0</v>
      </c>
      <c r="AI19" s="281">
        <v>0</v>
      </c>
      <c r="AJ19" s="281">
        <v>341</v>
      </c>
      <c r="AK19" s="281">
        <v>195</v>
      </c>
      <c r="AL19" s="281">
        <v>123</v>
      </c>
      <c r="AM19" s="281">
        <v>30</v>
      </c>
      <c r="AN19" s="281">
        <v>151</v>
      </c>
      <c r="AO19" s="281">
        <v>109</v>
      </c>
      <c r="AP19" s="281">
        <v>342836</v>
      </c>
      <c r="AQ19" s="281">
        <v>336133</v>
      </c>
      <c r="AR19" s="282">
        <v>359122</v>
      </c>
      <c r="AS19" s="18" cm="1">
        <f t="array" ref="AS19">SUM(_xlfn._xlws.FILTER($U19:$AR19, ISNUMBER(SEARCH("2024", $U$5:$AR$5))))</f>
        <v>1317831</v>
      </c>
      <c r="AT19" s="17" cm="1">
        <f t="array" ref="AT19">SUM(_xlfn._xlws.FILTER($U19:$AR19, ISNUMBER(SEARCH("2023", $U$5:$AR$5))))</f>
        <v>1133543</v>
      </c>
      <c r="AU19" s="17" cm="1">
        <f t="array" ref="AU19">SUM(_xlfn._xlws.FILTER($U19:$AR19, ISNUMBER(SEARCH("2022", $U$5:$AR$5))))</f>
        <v>1111504</v>
      </c>
    </row>
    <row r="20" spans="2:47" ht="48" x14ac:dyDescent="0.2">
      <c r="B20" s="19" t="s">
        <v>11</v>
      </c>
      <c r="C20" s="16">
        <v>12</v>
      </c>
      <c r="D20" s="14">
        <v>-994026</v>
      </c>
      <c r="E20" s="15">
        <v>-766891</v>
      </c>
      <c r="F20" s="15">
        <v>-670459</v>
      </c>
      <c r="H20" s="19" t="s">
        <v>41</v>
      </c>
      <c r="I20" s="38">
        <v>27</v>
      </c>
      <c r="J20" s="14">
        <v>15976</v>
      </c>
      <c r="K20" s="15">
        <v>1962658</v>
      </c>
      <c r="L20" s="15">
        <v>10491</v>
      </c>
      <c r="N20" s="19" t="s">
        <v>2</v>
      </c>
      <c r="O20" s="54" t="s">
        <v>98</v>
      </c>
      <c r="P20" s="56">
        <v>-3416767</v>
      </c>
      <c r="Q20" s="55">
        <v>-5772137</v>
      </c>
      <c r="R20" s="56">
        <v>-6759161</v>
      </c>
      <c r="T20" s="283" t="s">
        <v>275</v>
      </c>
      <c r="U20" s="281">
        <v>0</v>
      </c>
      <c r="V20" s="281">
        <v>0</v>
      </c>
      <c r="W20" s="281">
        <v>0</v>
      </c>
      <c r="X20" s="281">
        <v>1792857</v>
      </c>
      <c r="Y20" s="281">
        <v>1718628</v>
      </c>
      <c r="Z20" s="281">
        <v>1195431</v>
      </c>
      <c r="AA20" s="281">
        <v>0</v>
      </c>
      <c r="AB20" s="281">
        <v>0</v>
      </c>
      <c r="AC20" s="281">
        <v>0</v>
      </c>
      <c r="AD20" s="281">
        <v>0</v>
      </c>
      <c r="AE20" s="281">
        <v>0</v>
      </c>
      <c r="AF20" s="281">
        <v>0</v>
      </c>
      <c r="AG20" s="281">
        <v>0</v>
      </c>
      <c r="AH20" s="281">
        <v>0</v>
      </c>
      <c r="AI20" s="281">
        <v>0</v>
      </c>
      <c r="AJ20" s="281">
        <v>217</v>
      </c>
      <c r="AK20" s="281">
        <v>66</v>
      </c>
      <c r="AL20" s="281">
        <v>157</v>
      </c>
      <c r="AM20" s="281">
        <v>25</v>
      </c>
      <c r="AN20" s="281">
        <v>88</v>
      </c>
      <c r="AO20" s="281">
        <v>220</v>
      </c>
      <c r="AP20" s="281">
        <v>106719</v>
      </c>
      <c r="AQ20" s="281">
        <v>38806</v>
      </c>
      <c r="AR20" s="282">
        <v>21667</v>
      </c>
      <c r="AS20" s="18" cm="1">
        <f t="array" ref="AS20">SUM(_xlfn._xlws.FILTER($U20:$AR20, ISNUMBER(SEARCH("2024", $U$5:$AR$5))))</f>
        <v>1899818</v>
      </c>
      <c r="AT20" s="17" cm="1">
        <f t="array" ref="AT20">SUM(_xlfn._xlws.FILTER($U20:$AR20, ISNUMBER(SEARCH("2023", $U$5:$AR$5))))</f>
        <v>1757588</v>
      </c>
      <c r="AU20" s="17" cm="1">
        <f t="array" ref="AU20">SUM(_xlfn._xlws.FILTER($U20:$AR20, ISNUMBER(SEARCH("2022", $U$5:$AR$5))))</f>
        <v>1217475</v>
      </c>
    </row>
    <row r="21" spans="2:47" ht="36" x14ac:dyDescent="0.2">
      <c r="B21" s="19" t="s">
        <v>12</v>
      </c>
      <c r="C21" s="16">
        <v>13</v>
      </c>
      <c r="D21" s="14">
        <v>-9734</v>
      </c>
      <c r="E21" s="15">
        <v>-6769</v>
      </c>
      <c r="F21" s="15">
        <v>-19290</v>
      </c>
      <c r="H21" s="19" t="s">
        <v>42</v>
      </c>
      <c r="I21" s="38">
        <v>28</v>
      </c>
      <c r="J21" s="14">
        <v>82238</v>
      </c>
      <c r="K21" s="15">
        <v>71672</v>
      </c>
      <c r="L21" s="15">
        <v>86159</v>
      </c>
      <c r="N21" s="19" t="s">
        <v>3</v>
      </c>
      <c r="O21" s="54" t="s">
        <v>98</v>
      </c>
      <c r="P21" s="56">
        <v>319542</v>
      </c>
      <c r="Q21" s="55">
        <v>559928</v>
      </c>
      <c r="R21" s="56">
        <v>791837</v>
      </c>
      <c r="T21" s="283" t="s">
        <v>276</v>
      </c>
      <c r="U21" s="281">
        <v>0</v>
      </c>
      <c r="V21" s="281">
        <v>0</v>
      </c>
      <c r="W21" s="281">
        <v>0</v>
      </c>
      <c r="X21" s="281">
        <v>261024</v>
      </c>
      <c r="Y21" s="281">
        <v>309155</v>
      </c>
      <c r="Z21" s="281">
        <v>324903</v>
      </c>
      <c r="AA21" s="281">
        <v>0</v>
      </c>
      <c r="AB21" s="281">
        <v>0</v>
      </c>
      <c r="AC21" s="281">
        <v>0</v>
      </c>
      <c r="AD21" s="281">
        <v>0</v>
      </c>
      <c r="AE21" s="281">
        <v>0</v>
      </c>
      <c r="AF21" s="281">
        <v>0</v>
      </c>
      <c r="AG21" s="281">
        <v>0</v>
      </c>
      <c r="AH21" s="281">
        <v>0</v>
      </c>
      <c r="AI21" s="281">
        <v>0</v>
      </c>
      <c r="AJ21" s="281">
        <v>9721</v>
      </c>
      <c r="AK21" s="281">
        <v>223</v>
      </c>
      <c r="AL21" s="281">
        <v>223</v>
      </c>
      <c r="AM21" s="281">
        <v>1</v>
      </c>
      <c r="AN21" s="281">
        <v>394</v>
      </c>
      <c r="AO21" s="281">
        <v>253</v>
      </c>
      <c r="AP21" s="281">
        <v>146631</v>
      </c>
      <c r="AQ21" s="281">
        <v>135331</v>
      </c>
      <c r="AR21" s="282">
        <v>105660</v>
      </c>
      <c r="AS21" s="18" cm="1">
        <f t="array" ref="AS21">SUM(_xlfn._xlws.FILTER($U21:$AR21, ISNUMBER(SEARCH("2024", $U$5:$AR$5))))</f>
        <v>417377</v>
      </c>
      <c r="AT21" s="17" cm="1">
        <f t="array" ref="AT21">SUM(_xlfn._xlws.FILTER($U21:$AR21, ISNUMBER(SEARCH("2023", $U$5:$AR$5))))</f>
        <v>445103</v>
      </c>
      <c r="AU21" s="17" cm="1">
        <f t="array" ref="AU21">SUM(_xlfn._xlws.FILTER($U21:$AR21, ISNUMBER(SEARCH("2022", $U$5:$AR$5))))</f>
        <v>431039</v>
      </c>
    </row>
    <row r="22" spans="2:47" x14ac:dyDescent="0.2">
      <c r="B22" s="19" t="s">
        <v>13</v>
      </c>
      <c r="C22" s="16">
        <v>14</v>
      </c>
      <c r="D22" s="14">
        <v>-1095738</v>
      </c>
      <c r="E22" s="15">
        <v>-1304427</v>
      </c>
      <c r="F22" s="15">
        <v>-1466347</v>
      </c>
      <c r="H22" s="19" t="s">
        <v>43</v>
      </c>
      <c r="I22" s="38">
        <v>29</v>
      </c>
      <c r="J22" s="14">
        <v>2708886</v>
      </c>
      <c r="K22" s="15">
        <v>2698598</v>
      </c>
      <c r="L22" s="15">
        <v>2708412</v>
      </c>
      <c r="N22" s="19" t="s">
        <v>8</v>
      </c>
      <c r="O22" s="54" t="s">
        <v>99</v>
      </c>
      <c r="P22" s="56">
        <v>1006</v>
      </c>
      <c r="Q22" s="55">
        <v>6356</v>
      </c>
      <c r="R22" s="56">
        <v>-70002</v>
      </c>
      <c r="T22" s="283" t="s">
        <v>277</v>
      </c>
      <c r="U22" s="281">
        <v>6051077</v>
      </c>
      <c r="V22" s="281">
        <v>2981365</v>
      </c>
      <c r="W22" s="281">
        <v>584575</v>
      </c>
      <c r="X22" s="281">
        <v>297811</v>
      </c>
      <c r="Y22" s="281">
        <v>73126</v>
      </c>
      <c r="Z22" s="281">
        <v>73273</v>
      </c>
      <c r="AA22" s="281">
        <v>0</v>
      </c>
      <c r="AB22" s="281">
        <v>0</v>
      </c>
      <c r="AC22" s="281">
        <v>0</v>
      </c>
      <c r="AD22" s="281">
        <v>84643</v>
      </c>
      <c r="AE22" s="281">
        <v>225232</v>
      </c>
      <c r="AF22" s="281">
        <v>226806</v>
      </c>
      <c r="AG22" s="281">
        <v>42069466</v>
      </c>
      <c r="AH22" s="281">
        <v>56010743</v>
      </c>
      <c r="AI22" s="281">
        <v>51309477</v>
      </c>
      <c r="AJ22" s="281">
        <v>14963</v>
      </c>
      <c r="AK22" s="281">
        <v>4003</v>
      </c>
      <c r="AL22" s="281">
        <v>3642</v>
      </c>
      <c r="AM22" s="281">
        <v>9103</v>
      </c>
      <c r="AN22" s="281">
        <v>15978</v>
      </c>
      <c r="AO22" s="281">
        <v>22587</v>
      </c>
      <c r="AP22" s="281">
        <v>187795</v>
      </c>
      <c r="AQ22" s="281">
        <v>152178</v>
      </c>
      <c r="AR22" s="282">
        <v>48574</v>
      </c>
      <c r="AS22" s="18" cm="1">
        <f t="array" ref="AS22">SUM(_xlfn._xlws.FILTER($U22:$AR22, ISNUMBER(SEARCH("2024", $U$5:$AR$5))))</f>
        <v>48714858</v>
      </c>
      <c r="AT22" s="17" cm="1">
        <f t="array" ref="AT22">SUM(_xlfn._xlws.FILTER($U22:$AR22, ISNUMBER(SEARCH("2023", $U$5:$AR$5))))</f>
        <v>59462625</v>
      </c>
      <c r="AU22" s="17" cm="1">
        <f t="array" ref="AU22">SUM(_xlfn._xlws.FILTER($U22:$AR22, ISNUMBER(SEARCH("2022", $U$5:$AR$5))))</f>
        <v>52268934</v>
      </c>
    </row>
    <row r="23" spans="2:47" x14ac:dyDescent="0.2">
      <c r="B23" s="19" t="s">
        <v>14</v>
      </c>
      <c r="C23" s="16">
        <v>15</v>
      </c>
      <c r="D23" s="14">
        <v>-217243</v>
      </c>
      <c r="E23" s="15">
        <v>-235938</v>
      </c>
      <c r="F23" s="15">
        <v>-247739</v>
      </c>
      <c r="H23" s="19" t="s">
        <v>44</v>
      </c>
      <c r="I23" s="38">
        <v>30.2</v>
      </c>
      <c r="J23" s="14">
        <v>0</v>
      </c>
      <c r="K23" s="15">
        <v>0</v>
      </c>
      <c r="L23" s="15">
        <v>0</v>
      </c>
      <c r="N23" s="19"/>
      <c r="O23" s="54"/>
      <c r="P23" s="56"/>
      <c r="Q23" s="55"/>
      <c r="R23" s="56"/>
      <c r="T23" s="283" t="s">
        <v>278</v>
      </c>
      <c r="U23" s="281">
        <v>0</v>
      </c>
      <c r="V23" s="281">
        <v>0</v>
      </c>
      <c r="W23" s="281">
        <v>0</v>
      </c>
      <c r="X23" s="281">
        <v>5525029</v>
      </c>
      <c r="Y23" s="281">
        <v>4181854</v>
      </c>
      <c r="Z23" s="281">
        <v>4738344</v>
      </c>
      <c r="AA23" s="281">
        <v>0</v>
      </c>
      <c r="AB23" s="281">
        <v>0</v>
      </c>
      <c r="AC23" s="281">
        <v>0</v>
      </c>
      <c r="AD23" s="281">
        <v>0</v>
      </c>
      <c r="AE23" s="281">
        <v>0</v>
      </c>
      <c r="AF23" s="281">
        <v>0</v>
      </c>
      <c r="AG23" s="281">
        <v>0</v>
      </c>
      <c r="AH23" s="281">
        <v>0</v>
      </c>
      <c r="AI23" s="281">
        <v>0</v>
      </c>
      <c r="AJ23" s="281">
        <v>67</v>
      </c>
      <c r="AK23" s="281">
        <v>36</v>
      </c>
      <c r="AL23" s="281">
        <v>6</v>
      </c>
      <c r="AM23" s="281">
        <v>0</v>
      </c>
      <c r="AN23" s="281">
        <v>23</v>
      </c>
      <c r="AO23" s="281">
        <v>16</v>
      </c>
      <c r="AP23" s="281">
        <v>271210</v>
      </c>
      <c r="AQ23" s="281">
        <v>277342</v>
      </c>
      <c r="AR23" s="282">
        <v>321231</v>
      </c>
      <c r="AS23" s="18" cm="1">
        <f t="array" ref="AS23">SUM(_xlfn._xlws.FILTER($U23:$AR23, ISNUMBER(SEARCH("2024", $U$5:$AR$5))))</f>
        <v>5796306</v>
      </c>
      <c r="AT23" s="17" cm="1">
        <f t="array" ref="AT23">SUM(_xlfn._xlws.FILTER($U23:$AR23, ISNUMBER(SEARCH("2023", $U$5:$AR$5))))</f>
        <v>4459255</v>
      </c>
      <c r="AU23" s="17" cm="1">
        <f t="array" ref="AU23">SUM(_xlfn._xlws.FILTER($U23:$AR23, ISNUMBER(SEARCH("2022", $U$5:$AR$5))))</f>
        <v>5059597</v>
      </c>
    </row>
    <row r="24" spans="2:47" x14ac:dyDescent="0.2">
      <c r="B24" s="19" t="s">
        <v>15</v>
      </c>
      <c r="C24" s="12">
        <v>16</v>
      </c>
      <c r="D24" s="14">
        <v>-912823</v>
      </c>
      <c r="E24" s="15">
        <v>-864278</v>
      </c>
      <c r="F24" s="15">
        <v>-1039221</v>
      </c>
      <c r="H24" s="19"/>
      <c r="I24" s="38"/>
      <c r="J24" s="14"/>
      <c r="K24" s="15"/>
      <c r="L24" s="15"/>
      <c r="N24" s="19" t="s">
        <v>11</v>
      </c>
      <c r="O24" s="54" t="s">
        <v>100</v>
      </c>
      <c r="P24" s="56"/>
      <c r="Q24" s="55"/>
      <c r="R24" s="56"/>
      <c r="T24" s="283" t="s">
        <v>279</v>
      </c>
      <c r="U24" s="281">
        <v>0</v>
      </c>
      <c r="V24" s="281">
        <v>0</v>
      </c>
      <c r="W24" s="281">
        <v>0</v>
      </c>
      <c r="X24" s="281">
        <v>1800799</v>
      </c>
      <c r="Y24" s="281">
        <v>1039039</v>
      </c>
      <c r="Z24" s="281">
        <v>844737</v>
      </c>
      <c r="AA24" s="281">
        <v>0</v>
      </c>
      <c r="AB24" s="281">
        <v>0</v>
      </c>
      <c r="AC24" s="281">
        <v>0</v>
      </c>
      <c r="AD24" s="281">
        <v>0</v>
      </c>
      <c r="AE24" s="281">
        <v>0</v>
      </c>
      <c r="AF24" s="281">
        <v>0</v>
      </c>
      <c r="AG24" s="281">
        <v>0</v>
      </c>
      <c r="AH24" s="281">
        <v>0</v>
      </c>
      <c r="AI24" s="281">
        <v>0</v>
      </c>
      <c r="AJ24" s="281">
        <v>295</v>
      </c>
      <c r="AK24" s="281">
        <v>119</v>
      </c>
      <c r="AL24" s="281">
        <v>121</v>
      </c>
      <c r="AM24" s="281">
        <v>144</v>
      </c>
      <c r="AN24" s="281">
        <v>252</v>
      </c>
      <c r="AO24" s="281">
        <v>169</v>
      </c>
      <c r="AP24" s="281">
        <v>88839</v>
      </c>
      <c r="AQ24" s="281">
        <v>88842</v>
      </c>
      <c r="AR24" s="282">
        <v>86895</v>
      </c>
      <c r="AS24" s="18" cm="1">
        <f t="array" ref="AS24">SUM(_xlfn._xlws.FILTER($U24:$AR24, ISNUMBER(SEARCH("2024", $U$5:$AR$5))))</f>
        <v>1890077</v>
      </c>
      <c r="AT24" s="17" cm="1">
        <f t="array" ref="AT24">SUM(_xlfn._xlws.FILTER($U24:$AR24, ISNUMBER(SEARCH("2023", $U$5:$AR$5))))</f>
        <v>1128252</v>
      </c>
      <c r="AU24" s="17" cm="1">
        <f t="array" ref="AU24">SUM(_xlfn._xlws.FILTER($U24:$AR24, ISNUMBER(SEARCH("2022", $U$5:$AR$5))))</f>
        <v>931922</v>
      </c>
    </row>
    <row r="25" spans="2:47" ht="24" x14ac:dyDescent="0.2">
      <c r="B25" s="19" t="s">
        <v>16</v>
      </c>
      <c r="C25" s="12">
        <v>24</v>
      </c>
      <c r="D25" s="14">
        <v>0</v>
      </c>
      <c r="E25" s="15">
        <v>0</v>
      </c>
      <c r="F25" s="15">
        <v>0</v>
      </c>
      <c r="H25" s="19" t="s">
        <v>45</v>
      </c>
      <c r="I25" s="38">
        <v>31</v>
      </c>
      <c r="J25" s="14">
        <v>5453</v>
      </c>
      <c r="K25" s="15">
        <v>5453</v>
      </c>
      <c r="L25" s="15">
        <v>0</v>
      </c>
      <c r="N25" s="64" t="s">
        <v>101</v>
      </c>
      <c r="O25" s="54"/>
      <c r="P25" s="56">
        <v>2977881</v>
      </c>
      <c r="Q25" s="55">
        <v>4291408</v>
      </c>
      <c r="R25" s="56">
        <v>2700291</v>
      </c>
      <c r="T25" s="283" t="s">
        <v>280</v>
      </c>
      <c r="U25" s="281">
        <v>0</v>
      </c>
      <c r="V25" s="281">
        <v>0</v>
      </c>
      <c r="W25" s="281">
        <v>0</v>
      </c>
      <c r="X25" s="281">
        <v>219735</v>
      </c>
      <c r="Y25" s="281">
        <v>171841</v>
      </c>
      <c r="Z25" s="281">
        <v>230976</v>
      </c>
      <c r="AA25" s="281">
        <v>0</v>
      </c>
      <c r="AB25" s="281">
        <v>0</v>
      </c>
      <c r="AC25" s="281">
        <v>0</v>
      </c>
      <c r="AD25" s="281">
        <v>0</v>
      </c>
      <c r="AE25" s="281">
        <v>0</v>
      </c>
      <c r="AF25" s="281">
        <v>0</v>
      </c>
      <c r="AG25" s="281">
        <v>0</v>
      </c>
      <c r="AH25" s="281">
        <v>0</v>
      </c>
      <c r="AI25" s="281">
        <v>0</v>
      </c>
      <c r="AJ25" s="281">
        <v>613</v>
      </c>
      <c r="AK25" s="281">
        <v>102</v>
      </c>
      <c r="AL25" s="281">
        <v>126</v>
      </c>
      <c r="AM25" s="281">
        <v>0</v>
      </c>
      <c r="AN25" s="281">
        <v>489</v>
      </c>
      <c r="AO25" s="281">
        <v>1461</v>
      </c>
      <c r="AP25" s="281">
        <v>348154</v>
      </c>
      <c r="AQ25" s="281">
        <v>88184</v>
      </c>
      <c r="AR25" s="282">
        <v>368938</v>
      </c>
      <c r="AS25" s="18" cm="1">
        <f t="array" ref="AS25">SUM(_xlfn._xlws.FILTER($U25:$AR25, ISNUMBER(SEARCH("2024", $U$5:$AR$5))))</f>
        <v>568502</v>
      </c>
      <c r="AT25" s="17" cm="1">
        <f t="array" ref="AT25">SUM(_xlfn._xlws.FILTER($U25:$AR25, ISNUMBER(SEARCH("2023", $U$5:$AR$5))))</f>
        <v>260616</v>
      </c>
      <c r="AU25" s="17" cm="1">
        <f t="array" ref="AU25">SUM(_xlfn._xlws.FILTER($U25:$AR25, ISNUMBER(SEARCH("2022", $U$5:$AR$5))))</f>
        <v>601501</v>
      </c>
    </row>
    <row r="26" spans="2:47" x14ac:dyDescent="0.2">
      <c r="B26" s="20" t="s">
        <v>17</v>
      </c>
      <c r="C26" s="12"/>
      <c r="D26" s="18">
        <v>2338572</v>
      </c>
      <c r="E26" s="17">
        <v>3938452</v>
      </c>
      <c r="F26" s="17">
        <v>5524532</v>
      </c>
      <c r="H26" s="20" t="s">
        <v>46</v>
      </c>
      <c r="I26" s="38"/>
      <c r="J26" s="18">
        <v>151049748</v>
      </c>
      <c r="K26" s="17">
        <v>163681337</v>
      </c>
      <c r="L26" s="17">
        <v>178719788</v>
      </c>
      <c r="N26" s="64" t="s">
        <v>102</v>
      </c>
      <c r="O26" s="54"/>
      <c r="P26" s="56">
        <v>-1983855</v>
      </c>
      <c r="Q26" s="55">
        <v>-3524517</v>
      </c>
      <c r="R26" s="56">
        <v>-2029832</v>
      </c>
      <c r="T26" s="283" t="s">
        <v>281</v>
      </c>
      <c r="U26" s="281">
        <v>0</v>
      </c>
      <c r="V26" s="281">
        <v>0</v>
      </c>
      <c r="W26" s="281">
        <v>0</v>
      </c>
      <c r="X26" s="281">
        <v>1113634</v>
      </c>
      <c r="Y26" s="281">
        <v>1426224</v>
      </c>
      <c r="Z26" s="281">
        <v>1711914</v>
      </c>
      <c r="AA26" s="281">
        <v>1754124</v>
      </c>
      <c r="AB26" s="281">
        <v>0</v>
      </c>
      <c r="AC26" s="281">
        <v>3515798</v>
      </c>
      <c r="AD26" s="281">
        <v>33114480</v>
      </c>
      <c r="AE26" s="281">
        <v>27803795</v>
      </c>
      <c r="AF26" s="281">
        <v>22667869</v>
      </c>
      <c r="AG26" s="281">
        <v>0</v>
      </c>
      <c r="AH26" s="281">
        <v>0</v>
      </c>
      <c r="AI26" s="281">
        <v>0</v>
      </c>
      <c r="AJ26" s="281">
        <v>257</v>
      </c>
      <c r="AK26" s="281">
        <v>148</v>
      </c>
      <c r="AL26" s="281">
        <v>361</v>
      </c>
      <c r="AM26" s="281">
        <v>55</v>
      </c>
      <c r="AN26" s="281">
        <v>299</v>
      </c>
      <c r="AO26" s="281">
        <v>290</v>
      </c>
      <c r="AP26" s="281">
        <v>2363</v>
      </c>
      <c r="AQ26" s="281">
        <v>2457</v>
      </c>
      <c r="AR26" s="282">
        <v>432316</v>
      </c>
      <c r="AS26" s="18" cm="1">
        <f t="array" ref="AS26">SUM(_xlfn._xlws.FILTER($U26:$AR26, ISNUMBER(SEARCH("2024", $U$5:$AR$5))))</f>
        <v>35984913</v>
      </c>
      <c r="AT26" s="17" cm="1">
        <f t="array" ref="AT26">SUM(_xlfn._xlws.FILTER($U26:$AR26, ISNUMBER(SEARCH("2023", $U$5:$AR$5))))</f>
        <v>29232923</v>
      </c>
      <c r="AU26" s="17" cm="1">
        <f t="array" ref="AU26">SUM(_xlfn._xlws.FILTER($U26:$AR26, ISNUMBER(SEARCH("2022", $U$5:$AR$5))))</f>
        <v>28328548</v>
      </c>
    </row>
    <row r="27" spans="2:47" x14ac:dyDescent="0.2">
      <c r="B27" s="19"/>
      <c r="C27" s="12"/>
      <c r="D27" s="14"/>
      <c r="E27" s="15"/>
      <c r="F27" s="15"/>
      <c r="H27" s="20" t="s">
        <v>47</v>
      </c>
      <c r="I27" s="38"/>
      <c r="J27" s="14"/>
      <c r="K27" s="15"/>
      <c r="L27" s="15"/>
      <c r="N27" s="19" t="s">
        <v>103</v>
      </c>
      <c r="O27" s="54"/>
      <c r="P27" s="56"/>
      <c r="Q27" s="55"/>
      <c r="R27" s="56"/>
      <c r="T27" s="283" t="s">
        <v>282</v>
      </c>
      <c r="U27" s="281">
        <v>0</v>
      </c>
      <c r="V27" s="281">
        <v>0</v>
      </c>
      <c r="W27" s="281">
        <v>0</v>
      </c>
      <c r="X27" s="281">
        <v>355032</v>
      </c>
      <c r="Y27" s="281">
        <v>244679</v>
      </c>
      <c r="Z27" s="281">
        <v>418136</v>
      </c>
      <c r="AA27" s="281">
        <v>0</v>
      </c>
      <c r="AB27" s="281">
        <v>0</v>
      </c>
      <c r="AC27" s="281">
        <v>0</v>
      </c>
      <c r="AD27" s="281">
        <v>0</v>
      </c>
      <c r="AE27" s="281">
        <v>0</v>
      </c>
      <c r="AF27" s="281">
        <v>0</v>
      </c>
      <c r="AG27" s="281">
        <v>0</v>
      </c>
      <c r="AH27" s="281">
        <v>0</v>
      </c>
      <c r="AI27" s="281">
        <v>0</v>
      </c>
      <c r="AJ27" s="281">
        <v>108</v>
      </c>
      <c r="AK27" s="281">
        <v>21</v>
      </c>
      <c r="AL27" s="281">
        <v>6</v>
      </c>
      <c r="AM27" s="281">
        <v>0</v>
      </c>
      <c r="AN27" s="281">
        <v>90</v>
      </c>
      <c r="AO27" s="281">
        <v>52</v>
      </c>
      <c r="AP27" s="281">
        <v>19445</v>
      </c>
      <c r="AQ27" s="281">
        <v>4761</v>
      </c>
      <c r="AR27" s="282">
        <v>25085</v>
      </c>
      <c r="AS27" s="18" cm="1">
        <f t="array" ref="AS27">SUM(_xlfn._xlws.FILTER($U27:$AR27, ISNUMBER(SEARCH("2024", $U$5:$AR$5))))</f>
        <v>374585</v>
      </c>
      <c r="AT27" s="17" cm="1">
        <f t="array" ref="AT27">SUM(_xlfn._xlws.FILTER($U27:$AR27, ISNUMBER(SEARCH("2023", $U$5:$AR$5))))</f>
        <v>249551</v>
      </c>
      <c r="AU27" s="17" cm="1">
        <f t="array" ref="AU27">SUM(_xlfn._xlws.FILTER($U27:$AR27, ISNUMBER(SEARCH("2022", $U$5:$AR$5))))</f>
        <v>443279</v>
      </c>
    </row>
    <row r="28" spans="2:47" x14ac:dyDescent="0.2">
      <c r="B28" s="19" t="s">
        <v>18</v>
      </c>
      <c r="C28" s="16">
        <v>17</v>
      </c>
      <c r="D28" s="14">
        <v>-166864</v>
      </c>
      <c r="E28" s="15">
        <v>-336075</v>
      </c>
      <c r="F28" s="15">
        <v>-564418</v>
      </c>
      <c r="H28" s="19" t="s">
        <v>48</v>
      </c>
      <c r="I28" s="38">
        <v>32</v>
      </c>
      <c r="J28" s="14">
        <v>0</v>
      </c>
      <c r="K28" s="15">
        <v>599</v>
      </c>
      <c r="L28" s="15">
        <v>1647</v>
      </c>
      <c r="N28" s="64" t="s">
        <v>104</v>
      </c>
      <c r="O28" s="54" t="s">
        <v>105</v>
      </c>
      <c r="P28" s="56">
        <v>9734</v>
      </c>
      <c r="Q28" s="55">
        <v>6769</v>
      </c>
      <c r="R28" s="56">
        <v>19290</v>
      </c>
      <c r="T28" s="283" t="s">
        <v>283</v>
      </c>
      <c r="U28" s="281">
        <v>0</v>
      </c>
      <c r="V28" s="281">
        <v>0</v>
      </c>
      <c r="W28" s="281">
        <v>0</v>
      </c>
      <c r="X28" s="281">
        <v>1703393</v>
      </c>
      <c r="Y28" s="281">
        <v>1598308</v>
      </c>
      <c r="Z28" s="281">
        <v>1667973</v>
      </c>
      <c r="AA28" s="281">
        <v>0</v>
      </c>
      <c r="AB28" s="281">
        <v>0</v>
      </c>
      <c r="AC28" s="281">
        <v>0</v>
      </c>
      <c r="AD28" s="281">
        <v>0</v>
      </c>
      <c r="AE28" s="281">
        <v>0</v>
      </c>
      <c r="AF28" s="281">
        <v>0</v>
      </c>
      <c r="AG28" s="281">
        <v>0</v>
      </c>
      <c r="AH28" s="281">
        <v>0</v>
      </c>
      <c r="AI28" s="281">
        <v>0</v>
      </c>
      <c r="AJ28" s="281">
        <v>341</v>
      </c>
      <c r="AK28" s="281">
        <v>114</v>
      </c>
      <c r="AL28" s="281">
        <v>146</v>
      </c>
      <c r="AM28" s="281">
        <v>0</v>
      </c>
      <c r="AN28" s="281">
        <v>92</v>
      </c>
      <c r="AO28" s="281">
        <v>48</v>
      </c>
      <c r="AP28" s="281">
        <v>130182</v>
      </c>
      <c r="AQ28" s="281">
        <v>67270</v>
      </c>
      <c r="AR28" s="282">
        <v>41887</v>
      </c>
      <c r="AS28" s="18" cm="1">
        <f t="array" ref="AS28">SUM(_xlfn._xlws.FILTER($U28:$AR28, ISNUMBER(SEARCH("2024", $U$5:$AR$5))))</f>
        <v>1833916</v>
      </c>
      <c r="AT28" s="17" cm="1">
        <f t="array" ref="AT28">SUM(_xlfn._xlws.FILTER($U28:$AR28, ISNUMBER(SEARCH("2023", $U$5:$AR$5))))</f>
        <v>1665784</v>
      </c>
      <c r="AU28" s="17" cm="1">
        <f t="array" ref="AU28">SUM(_xlfn._xlws.FILTER($U28:$AR28, ISNUMBER(SEARCH("2022", $U$5:$AR$5))))</f>
        <v>1710054</v>
      </c>
    </row>
    <row r="29" spans="2:47" ht="24.75" thickBot="1" x14ac:dyDescent="0.25">
      <c r="B29" s="20" t="s">
        <v>19</v>
      </c>
      <c r="C29" s="16"/>
      <c r="D29" s="22">
        <v>2171708</v>
      </c>
      <c r="E29" s="21">
        <v>3602377</v>
      </c>
      <c r="F29" s="21">
        <v>4960114</v>
      </c>
      <c r="H29" s="19"/>
      <c r="I29" s="38"/>
      <c r="J29" s="14"/>
      <c r="K29" s="15"/>
      <c r="L29" s="15"/>
      <c r="N29" s="64" t="s">
        <v>106</v>
      </c>
      <c r="O29" s="54"/>
      <c r="P29" s="56">
        <v>0</v>
      </c>
      <c r="Q29" s="55">
        <v>0</v>
      </c>
      <c r="R29" s="56">
        <v>0</v>
      </c>
      <c r="T29" s="283" t="s">
        <v>284</v>
      </c>
      <c r="U29" s="281">
        <v>0</v>
      </c>
      <c r="V29" s="281">
        <v>0</v>
      </c>
      <c r="W29" s="281">
        <v>0</v>
      </c>
      <c r="X29" s="281">
        <v>563800</v>
      </c>
      <c r="Y29" s="281">
        <v>563530</v>
      </c>
      <c r="Z29" s="281">
        <v>303127</v>
      </c>
      <c r="AA29" s="281">
        <v>0</v>
      </c>
      <c r="AB29" s="281">
        <v>0</v>
      </c>
      <c r="AC29" s="281">
        <v>0</v>
      </c>
      <c r="AD29" s="281">
        <v>0</v>
      </c>
      <c r="AE29" s="281">
        <v>0</v>
      </c>
      <c r="AF29" s="281">
        <v>0</v>
      </c>
      <c r="AG29" s="281">
        <v>0</v>
      </c>
      <c r="AH29" s="281">
        <v>0</v>
      </c>
      <c r="AI29" s="281">
        <v>0</v>
      </c>
      <c r="AJ29" s="281">
        <v>205</v>
      </c>
      <c r="AK29" s="281">
        <v>227</v>
      </c>
      <c r="AL29" s="281">
        <v>81</v>
      </c>
      <c r="AM29" s="281">
        <v>1</v>
      </c>
      <c r="AN29" s="281">
        <v>62</v>
      </c>
      <c r="AO29" s="281">
        <v>36</v>
      </c>
      <c r="AP29" s="281">
        <v>770127</v>
      </c>
      <c r="AQ29" s="281">
        <v>511040</v>
      </c>
      <c r="AR29" s="282">
        <v>193856</v>
      </c>
      <c r="AS29" s="18" cm="1">
        <f t="array" ref="AS29">SUM(_xlfn._xlws.FILTER($U29:$AR29, ISNUMBER(SEARCH("2024", $U$5:$AR$5))))</f>
        <v>1334133</v>
      </c>
      <c r="AT29" s="17" cm="1">
        <f t="array" ref="AT29">SUM(_xlfn._xlws.FILTER($U29:$AR29, ISNUMBER(SEARCH("2023", $U$5:$AR$5))))</f>
        <v>1074859</v>
      </c>
      <c r="AU29" s="17" cm="1">
        <f t="array" ref="AU29">SUM(_xlfn._xlws.FILTER($U29:$AR29, ISNUMBER(SEARCH("2022", $U$5:$AR$5))))</f>
        <v>497100</v>
      </c>
    </row>
    <row r="30" spans="2:47" ht="48.75" thickTop="1" x14ac:dyDescent="0.2">
      <c r="B30" s="19"/>
      <c r="C30" s="16"/>
      <c r="D30" s="14"/>
      <c r="E30" s="15"/>
      <c r="F30" s="15"/>
      <c r="H30" s="19" t="s">
        <v>49</v>
      </c>
      <c r="I30" s="38">
        <v>33</v>
      </c>
      <c r="J30" s="14">
        <v>0</v>
      </c>
      <c r="K30" s="15">
        <v>0</v>
      </c>
      <c r="L30" s="15">
        <v>0</v>
      </c>
      <c r="N30" s="64" t="s">
        <v>107</v>
      </c>
      <c r="O30" s="54"/>
      <c r="P30" s="56"/>
      <c r="Q30" s="55"/>
      <c r="R30" s="56"/>
      <c r="T30" s="283" t="s">
        <v>285</v>
      </c>
      <c r="U30" s="281">
        <v>0</v>
      </c>
      <c r="V30" s="281">
        <v>0</v>
      </c>
      <c r="W30" s="281">
        <v>0</v>
      </c>
      <c r="X30" s="281">
        <v>260080</v>
      </c>
      <c r="Y30" s="281">
        <v>275251</v>
      </c>
      <c r="Z30" s="281">
        <v>271648</v>
      </c>
      <c r="AA30" s="281">
        <v>0</v>
      </c>
      <c r="AB30" s="281">
        <v>0</v>
      </c>
      <c r="AC30" s="281">
        <v>0</v>
      </c>
      <c r="AD30" s="281">
        <v>0</v>
      </c>
      <c r="AE30" s="281">
        <v>0</v>
      </c>
      <c r="AF30" s="281">
        <v>0</v>
      </c>
      <c r="AG30" s="281">
        <v>0</v>
      </c>
      <c r="AH30" s="281">
        <v>0</v>
      </c>
      <c r="AI30" s="281">
        <v>0</v>
      </c>
      <c r="AJ30" s="281">
        <v>419</v>
      </c>
      <c r="AK30" s="281">
        <v>63</v>
      </c>
      <c r="AL30" s="281">
        <v>37</v>
      </c>
      <c r="AM30" s="281">
        <v>24</v>
      </c>
      <c r="AN30" s="281">
        <v>339</v>
      </c>
      <c r="AO30" s="281">
        <v>315</v>
      </c>
      <c r="AP30" s="281">
        <v>4224</v>
      </c>
      <c r="AQ30" s="281">
        <v>4519</v>
      </c>
      <c r="AR30" s="282">
        <v>3902</v>
      </c>
      <c r="AS30" s="18" cm="1">
        <f t="array" ref="AS30">SUM(_xlfn._xlws.FILTER($U30:$AR30, ISNUMBER(SEARCH("2024", $U$5:$AR$5))))</f>
        <v>264747</v>
      </c>
      <c r="AT30" s="17" cm="1">
        <f t="array" ref="AT30">SUM(_xlfn._xlws.FILTER($U30:$AR30, ISNUMBER(SEARCH("2023", $U$5:$AR$5))))</f>
        <v>280172</v>
      </c>
      <c r="AU30" s="17" cm="1">
        <f t="array" ref="AU30">SUM(_xlfn._xlws.FILTER($U30:$AR30, ISNUMBER(SEARCH("2022", $U$5:$AR$5))))</f>
        <v>275902</v>
      </c>
    </row>
    <row r="31" spans="2:47" ht="36" x14ac:dyDescent="0.2">
      <c r="B31" s="19" t="s">
        <v>20</v>
      </c>
      <c r="C31" s="16"/>
      <c r="D31" s="14">
        <v>0</v>
      </c>
      <c r="E31" s="15">
        <v>0</v>
      </c>
      <c r="F31" s="15">
        <v>0</v>
      </c>
      <c r="H31" s="19" t="s">
        <v>50</v>
      </c>
      <c r="I31" s="38">
        <v>21</v>
      </c>
      <c r="J31" s="14">
        <v>0</v>
      </c>
      <c r="K31" s="15">
        <v>0</v>
      </c>
      <c r="L31" s="15">
        <v>0</v>
      </c>
      <c r="N31" s="64" t="s">
        <v>108</v>
      </c>
      <c r="O31" s="54" t="s">
        <v>109</v>
      </c>
      <c r="P31" s="56">
        <v>209</v>
      </c>
      <c r="Q31" s="55">
        <v>10283</v>
      </c>
      <c r="R31" s="56">
        <v>10513</v>
      </c>
      <c r="T31" s="283" t="s">
        <v>286</v>
      </c>
      <c r="U31" s="296">
        <v>0</v>
      </c>
      <c r="V31" s="296">
        <v>0</v>
      </c>
      <c r="W31" s="281">
        <v>0</v>
      </c>
      <c r="X31" s="296">
        <v>0</v>
      </c>
      <c r="Y31" s="296">
        <v>0</v>
      </c>
      <c r="Z31" s="281">
        <v>0</v>
      </c>
      <c r="AA31" s="296">
        <v>0</v>
      </c>
      <c r="AB31" s="296">
        <v>0</v>
      </c>
      <c r="AC31" s="281">
        <v>0</v>
      </c>
      <c r="AD31" s="296">
        <v>0</v>
      </c>
      <c r="AE31" s="296">
        <v>0</v>
      </c>
      <c r="AF31" s="281">
        <v>0</v>
      </c>
      <c r="AG31" s="296">
        <v>0</v>
      </c>
      <c r="AH31" s="296">
        <v>0</v>
      </c>
      <c r="AI31" s="281">
        <v>0</v>
      </c>
      <c r="AJ31" s="296">
        <v>0</v>
      </c>
      <c r="AK31" s="296">
        <v>0</v>
      </c>
      <c r="AL31" s="281">
        <v>0</v>
      </c>
      <c r="AM31" s="296">
        <v>0</v>
      </c>
      <c r="AN31" s="296">
        <v>0</v>
      </c>
      <c r="AO31" s="281">
        <v>0</v>
      </c>
      <c r="AP31" s="296">
        <v>0</v>
      </c>
      <c r="AQ31" s="296">
        <v>0</v>
      </c>
      <c r="AR31" s="282">
        <v>0</v>
      </c>
      <c r="AS31" s="297">
        <v>0</v>
      </c>
      <c r="AT31" s="298">
        <v>0</v>
      </c>
      <c r="AU31" s="17" cm="1">
        <f t="array" ref="AU31">SUM(_xlfn._xlws.FILTER($U31:$AR31, ISNUMBER(SEARCH("2022", $U$5:$AR$5))))</f>
        <v>0</v>
      </c>
    </row>
    <row r="32" spans="2:47" ht="24.75" thickBot="1" x14ac:dyDescent="0.25">
      <c r="B32" s="20" t="s">
        <v>21</v>
      </c>
      <c r="C32" s="16"/>
      <c r="D32" s="22">
        <v>2171708</v>
      </c>
      <c r="E32" s="21">
        <v>3602377</v>
      </c>
      <c r="F32" s="21">
        <v>4960114</v>
      </c>
      <c r="H32" s="19" t="s">
        <v>51</v>
      </c>
      <c r="I32" s="38">
        <v>34.1</v>
      </c>
      <c r="J32" s="14">
        <v>260358</v>
      </c>
      <c r="K32" s="15">
        <v>521458</v>
      </c>
      <c r="L32" s="15">
        <v>1233413</v>
      </c>
      <c r="N32" s="64" t="s">
        <v>110</v>
      </c>
      <c r="O32" s="54" t="s">
        <v>109</v>
      </c>
      <c r="P32" s="56">
        <v>-3099</v>
      </c>
      <c r="Q32" s="55">
        <v>-449</v>
      </c>
      <c r="R32" s="56">
        <v>-603</v>
      </c>
      <c r="T32" s="283" t="s">
        <v>287</v>
      </c>
      <c r="U32" s="296">
        <v>0</v>
      </c>
      <c r="V32" s="296">
        <v>0</v>
      </c>
      <c r="W32" s="281">
        <v>0</v>
      </c>
      <c r="X32" s="296">
        <v>0</v>
      </c>
      <c r="Y32" s="296">
        <v>0</v>
      </c>
      <c r="Z32" s="281">
        <v>0</v>
      </c>
      <c r="AA32" s="296">
        <v>0</v>
      </c>
      <c r="AB32" s="296">
        <v>0</v>
      </c>
      <c r="AC32" s="281">
        <v>0</v>
      </c>
      <c r="AD32" s="296">
        <v>0</v>
      </c>
      <c r="AE32" s="296">
        <v>0</v>
      </c>
      <c r="AF32" s="281">
        <v>0</v>
      </c>
      <c r="AG32" s="296">
        <v>0</v>
      </c>
      <c r="AH32" s="296">
        <v>0</v>
      </c>
      <c r="AI32" s="281">
        <v>0</v>
      </c>
      <c r="AJ32" s="296">
        <v>0</v>
      </c>
      <c r="AK32" s="296">
        <v>0</v>
      </c>
      <c r="AL32" s="281">
        <v>0</v>
      </c>
      <c r="AM32" s="296">
        <v>0</v>
      </c>
      <c r="AN32" s="296">
        <v>0</v>
      </c>
      <c r="AO32" s="281">
        <v>0</v>
      </c>
      <c r="AP32" s="296">
        <v>0</v>
      </c>
      <c r="AQ32" s="296">
        <v>0</v>
      </c>
      <c r="AR32" s="282">
        <v>0</v>
      </c>
      <c r="AS32" s="297">
        <v>0</v>
      </c>
      <c r="AT32" s="298">
        <v>0</v>
      </c>
      <c r="AU32" s="17" cm="1">
        <f t="array" ref="AU32">SUM(_xlfn._xlws.FILTER($U32:$AR32, ISNUMBER(SEARCH("2022", $U$5:$AR$5))))</f>
        <v>0</v>
      </c>
    </row>
    <row r="33" spans="2:47" ht="12.75" thickTop="1" x14ac:dyDescent="0.2">
      <c r="B33" s="19"/>
      <c r="C33" s="16"/>
      <c r="D33" s="24"/>
      <c r="E33" s="23"/>
      <c r="F33" s="23"/>
      <c r="H33" s="19" t="s">
        <v>52</v>
      </c>
      <c r="I33" s="39" t="s">
        <v>53</v>
      </c>
      <c r="J33" s="14">
        <v>133174137</v>
      </c>
      <c r="K33" s="15">
        <v>142515749</v>
      </c>
      <c r="L33" s="15">
        <v>153366826</v>
      </c>
      <c r="N33" s="19" t="s">
        <v>111</v>
      </c>
      <c r="O33" s="54" t="s">
        <v>93</v>
      </c>
      <c r="P33" s="56">
        <v>-2870</v>
      </c>
      <c r="Q33" s="55">
        <v>-3220</v>
      </c>
      <c r="R33" s="56">
        <v>-307</v>
      </c>
      <c r="T33" s="283" t="s">
        <v>288</v>
      </c>
      <c r="U33" s="296">
        <v>0</v>
      </c>
      <c r="V33" s="296">
        <v>0</v>
      </c>
      <c r="W33" s="281">
        <v>0</v>
      </c>
      <c r="X33" s="296">
        <v>26822539</v>
      </c>
      <c r="Y33" s="296">
        <v>23426725</v>
      </c>
      <c r="Z33" s="281">
        <v>20772445</v>
      </c>
      <c r="AA33" s="296">
        <v>0</v>
      </c>
      <c r="AB33" s="296">
        <v>0</v>
      </c>
      <c r="AC33" s="281">
        <v>0</v>
      </c>
      <c r="AD33" s="296">
        <v>0</v>
      </c>
      <c r="AE33" s="296">
        <v>0</v>
      </c>
      <c r="AF33" s="281">
        <v>0</v>
      </c>
      <c r="AG33" s="296">
        <v>0</v>
      </c>
      <c r="AH33" s="296">
        <v>0</v>
      </c>
      <c r="AI33" s="281">
        <v>0</v>
      </c>
      <c r="AJ33" s="296">
        <v>1708</v>
      </c>
      <c r="AK33" s="296">
        <v>1896</v>
      </c>
      <c r="AL33" s="281">
        <v>2492</v>
      </c>
      <c r="AM33" s="296">
        <v>613267</v>
      </c>
      <c r="AN33" s="296">
        <v>566477</v>
      </c>
      <c r="AO33" s="281">
        <v>591017</v>
      </c>
      <c r="AP33" s="296">
        <v>3555971</v>
      </c>
      <c r="AQ33" s="296">
        <v>3315429</v>
      </c>
      <c r="AR33" s="282">
        <v>3099028</v>
      </c>
      <c r="AS33" s="297">
        <v>30993484</v>
      </c>
      <c r="AT33" s="298">
        <v>27310527</v>
      </c>
      <c r="AU33" s="17" cm="1">
        <f t="array" ref="AU33">SUM(_xlfn._xlws.FILTER($U33:$AR33, ISNUMBER(SEARCH("2022", $U$5:$AR$5))))</f>
        <v>24464982</v>
      </c>
    </row>
    <row r="34" spans="2:47" ht="24.75" thickBot="1" x14ac:dyDescent="0.25">
      <c r="B34" s="20" t="s">
        <v>22</v>
      </c>
      <c r="C34" s="16"/>
      <c r="D34" s="24"/>
      <c r="E34" s="23"/>
      <c r="F34" s="23"/>
      <c r="H34" s="19" t="s">
        <v>54</v>
      </c>
      <c r="I34" s="39" t="s">
        <v>55</v>
      </c>
      <c r="J34" s="14">
        <v>0</v>
      </c>
      <c r="K34" s="15">
        <v>0</v>
      </c>
      <c r="L34" s="15">
        <v>0</v>
      </c>
      <c r="O34" s="54"/>
      <c r="P34" s="56">
        <v>-75587</v>
      </c>
      <c r="Q34" s="55">
        <v>-92507</v>
      </c>
      <c r="R34" s="56">
        <v>-111015</v>
      </c>
      <c r="T34" s="284" t="s">
        <v>289</v>
      </c>
      <c r="U34" s="299">
        <v>0</v>
      </c>
      <c r="V34" s="299">
        <v>0</v>
      </c>
      <c r="W34" s="299">
        <v>0</v>
      </c>
      <c r="X34" s="299">
        <v>86716</v>
      </c>
      <c r="Y34" s="299">
        <v>82732</v>
      </c>
      <c r="Z34" s="299">
        <v>106775</v>
      </c>
      <c r="AA34" s="299">
        <v>0</v>
      </c>
      <c r="AB34" s="299">
        <v>0</v>
      </c>
      <c r="AC34" s="299">
        <v>0</v>
      </c>
      <c r="AD34" s="299">
        <v>0</v>
      </c>
      <c r="AE34" s="299">
        <v>0</v>
      </c>
      <c r="AF34" s="299">
        <v>0</v>
      </c>
      <c r="AG34" s="299">
        <v>0</v>
      </c>
      <c r="AH34" s="299">
        <v>0</v>
      </c>
      <c r="AI34" s="299">
        <v>0</v>
      </c>
      <c r="AJ34" s="299">
        <v>125</v>
      </c>
      <c r="AK34" s="299">
        <v>54</v>
      </c>
      <c r="AL34" s="299">
        <v>52</v>
      </c>
      <c r="AM34" s="299">
        <v>0</v>
      </c>
      <c r="AN34" s="299">
        <v>63</v>
      </c>
      <c r="AO34" s="299">
        <v>47</v>
      </c>
      <c r="AP34" s="299">
        <v>9805</v>
      </c>
      <c r="AQ34" s="299">
        <v>10118</v>
      </c>
      <c r="AR34" s="300">
        <v>6333</v>
      </c>
      <c r="AS34" s="301">
        <v>96646</v>
      </c>
      <c r="AT34" s="302">
        <v>92968</v>
      </c>
      <c r="AU34" s="17" cm="1">
        <f t="array" ref="AU34">SUM(_xlfn._xlws.FILTER($U34:$AR34, ISNUMBER(SEARCH("2022", $U$5:$AR$5))))</f>
        <v>113207</v>
      </c>
    </row>
    <row r="35" spans="2:47" ht="13.5" thickTop="1" thickBot="1" x14ac:dyDescent="0.25">
      <c r="B35" s="25" t="s">
        <v>23</v>
      </c>
      <c r="C35" s="16"/>
      <c r="D35" s="26">
        <v>2156076</v>
      </c>
      <c r="E35" s="13">
        <v>3587308</v>
      </c>
      <c r="F35" s="13">
        <v>4946892</v>
      </c>
      <c r="H35" s="19" t="s">
        <v>56</v>
      </c>
      <c r="I35" s="38">
        <v>36</v>
      </c>
      <c r="J35" s="14">
        <v>698159</v>
      </c>
      <c r="K35" s="15">
        <v>876461</v>
      </c>
      <c r="L35" s="15">
        <v>1456825</v>
      </c>
      <c r="N35" s="19" t="s">
        <v>112</v>
      </c>
      <c r="O35" s="54"/>
      <c r="P35" s="56">
        <v>1655</v>
      </c>
      <c r="Q35" s="55">
        <v>-7308</v>
      </c>
      <c r="R35" s="56">
        <v>7809</v>
      </c>
      <c r="T35" s="285" t="s">
        <v>220</v>
      </c>
      <c r="U35" s="303">
        <v>6051077</v>
      </c>
      <c r="V35" s="303">
        <v>2981365</v>
      </c>
      <c r="W35" s="303">
        <v>584575</v>
      </c>
      <c r="X35" s="303">
        <v>73237712</v>
      </c>
      <c r="Y35" s="303">
        <v>60515493</v>
      </c>
      <c r="Z35" s="303">
        <v>60087722</v>
      </c>
      <c r="AA35" s="303">
        <v>1754124</v>
      </c>
      <c r="AB35" s="303">
        <v>0</v>
      </c>
      <c r="AC35" s="303">
        <v>3515798</v>
      </c>
      <c r="AD35" s="303">
        <v>35596905</v>
      </c>
      <c r="AE35" s="303">
        <v>29746846</v>
      </c>
      <c r="AF35" s="303">
        <v>23477423</v>
      </c>
      <c r="AG35" s="303">
        <v>42069466</v>
      </c>
      <c r="AH35" s="303">
        <v>56010743</v>
      </c>
      <c r="AI35" s="303">
        <v>51309477</v>
      </c>
      <c r="AJ35" s="303">
        <v>39103</v>
      </c>
      <c r="AK35" s="303">
        <v>10245</v>
      </c>
      <c r="AL35" s="303">
        <v>10296</v>
      </c>
      <c r="AM35" s="303">
        <v>759044</v>
      </c>
      <c r="AN35" s="303">
        <v>726677</v>
      </c>
      <c r="AO35" s="303">
        <v>759882</v>
      </c>
      <c r="AP35" s="303">
        <v>15445208</v>
      </c>
      <c r="AQ35" s="303">
        <v>14177862</v>
      </c>
      <c r="AR35" s="304">
        <v>15839631</v>
      </c>
      <c r="AS35" s="305">
        <v>174952639</v>
      </c>
      <c r="AT35" s="303">
        <v>164169229</v>
      </c>
      <c r="AU35" s="303">
        <v>155584805</v>
      </c>
    </row>
    <row r="36" spans="2:47" ht="12.75" thickBot="1" x14ac:dyDescent="0.25">
      <c r="B36" s="25" t="s">
        <v>24</v>
      </c>
      <c r="C36" s="16"/>
      <c r="D36" s="28">
        <v>15632</v>
      </c>
      <c r="E36" s="27">
        <v>15069</v>
      </c>
      <c r="F36" s="27">
        <v>13222</v>
      </c>
      <c r="H36" s="19" t="s">
        <v>57</v>
      </c>
      <c r="I36" s="38">
        <v>37</v>
      </c>
      <c r="J36" s="14">
        <v>0</v>
      </c>
      <c r="K36" s="15">
        <v>0</v>
      </c>
      <c r="L36" s="15">
        <v>0</v>
      </c>
      <c r="N36" s="19" t="s">
        <v>113</v>
      </c>
      <c r="O36" s="54"/>
      <c r="P36" s="56">
        <v>3321957</v>
      </c>
      <c r="Q36" s="55">
        <v>5401969</v>
      </c>
      <c r="R36" s="56">
        <v>6377586</v>
      </c>
      <c r="T36" s="306" t="s">
        <v>290</v>
      </c>
      <c r="U36" s="307">
        <f>SUM(U6:U34)</f>
        <v>6051077</v>
      </c>
      <c r="V36" s="308">
        <f t="shared" ref="V36:AR36" si="0">SUM(V6:V34)</f>
        <v>2981365</v>
      </c>
      <c r="W36" s="308">
        <f t="shared" si="0"/>
        <v>584575</v>
      </c>
      <c r="X36" s="308">
        <f t="shared" si="0"/>
        <v>73237710</v>
      </c>
      <c r="Y36" s="308">
        <f t="shared" si="0"/>
        <v>60515493</v>
      </c>
      <c r="Z36" s="308">
        <f t="shared" si="0"/>
        <v>60087723</v>
      </c>
      <c r="AA36" s="308">
        <f t="shared" si="0"/>
        <v>1754124</v>
      </c>
      <c r="AB36" s="308">
        <f t="shared" si="0"/>
        <v>0</v>
      </c>
      <c r="AC36" s="308">
        <f t="shared" si="0"/>
        <v>3515798</v>
      </c>
      <c r="AD36" s="308">
        <f t="shared" si="0"/>
        <v>35596906</v>
      </c>
      <c r="AE36" s="308">
        <f t="shared" si="0"/>
        <v>29746846</v>
      </c>
      <c r="AF36" s="308">
        <f t="shared" si="0"/>
        <v>23477423</v>
      </c>
      <c r="AG36" s="308">
        <f t="shared" si="0"/>
        <v>42069466</v>
      </c>
      <c r="AH36" s="308">
        <f t="shared" si="0"/>
        <v>56010743</v>
      </c>
      <c r="AI36" s="308">
        <f t="shared" si="0"/>
        <v>51309477</v>
      </c>
      <c r="AJ36" s="308">
        <f t="shared" si="0"/>
        <v>39105</v>
      </c>
      <c r="AK36" s="308">
        <f t="shared" si="0"/>
        <v>10245</v>
      </c>
      <c r="AL36" s="308">
        <f t="shared" si="0"/>
        <v>10296</v>
      </c>
      <c r="AM36" s="308">
        <f t="shared" si="0"/>
        <v>759074</v>
      </c>
      <c r="AN36" s="308">
        <f t="shared" si="0"/>
        <v>726676</v>
      </c>
      <c r="AO36" s="308">
        <f t="shared" si="0"/>
        <v>759882</v>
      </c>
      <c r="AP36" s="308">
        <f t="shared" si="0"/>
        <v>15445209</v>
      </c>
      <c r="AQ36" s="308">
        <f t="shared" si="0"/>
        <v>14177862</v>
      </c>
      <c r="AR36" s="309">
        <f t="shared" si="0"/>
        <v>15839631</v>
      </c>
      <c r="AS36" s="310">
        <f>SUM(AS7:AS34)</f>
        <v>174952670</v>
      </c>
      <c r="AT36" s="311">
        <f>SUM(AT7:AT34)</f>
        <v>164169231</v>
      </c>
      <c r="AU36" s="311">
        <f>SUM(AU7:AU34)</f>
        <v>155584805</v>
      </c>
    </row>
    <row r="37" spans="2:47" x14ac:dyDescent="0.2">
      <c r="B37" s="19"/>
      <c r="C37" s="16"/>
      <c r="D37" s="24"/>
      <c r="E37" s="23"/>
      <c r="F37" s="23"/>
      <c r="H37" s="19" t="s">
        <v>58</v>
      </c>
      <c r="I37" s="38">
        <v>38</v>
      </c>
      <c r="J37" s="14">
        <v>446880</v>
      </c>
      <c r="K37" s="15">
        <v>489670</v>
      </c>
      <c r="L37" s="15">
        <v>278963</v>
      </c>
      <c r="N37" s="19" t="s">
        <v>114</v>
      </c>
      <c r="O37" s="54"/>
      <c r="P37" s="56">
        <v>-345882</v>
      </c>
      <c r="Q37" s="55">
        <v>-453206</v>
      </c>
      <c r="R37" s="56">
        <v>-594775</v>
      </c>
    </row>
    <row r="38" spans="2:47" x14ac:dyDescent="0.2">
      <c r="B38" s="20" t="s">
        <v>25</v>
      </c>
      <c r="C38" s="16">
        <v>41</v>
      </c>
      <c r="D38" s="24"/>
      <c r="E38" s="23"/>
      <c r="F38" s="23"/>
      <c r="H38" s="19" t="s">
        <v>59</v>
      </c>
      <c r="I38" s="39" t="s">
        <v>60</v>
      </c>
      <c r="J38" s="14">
        <v>33554</v>
      </c>
      <c r="K38" s="15">
        <v>229888</v>
      </c>
      <c r="L38" s="15">
        <v>262671</v>
      </c>
      <c r="N38" s="20" t="s">
        <v>115</v>
      </c>
      <c r="O38" s="54"/>
      <c r="P38" s="57">
        <v>3185426</v>
      </c>
      <c r="Q38" s="58">
        <v>4535909</v>
      </c>
      <c r="R38" s="57">
        <v>5461421</v>
      </c>
      <c r="T38" s="286" t="s">
        <v>291</v>
      </c>
      <c r="U38" s="287"/>
      <c r="V38" s="287"/>
      <c r="W38" s="287"/>
      <c r="X38" s="288"/>
      <c r="Y38" s="288"/>
      <c r="Z38" s="288"/>
      <c r="AA38" s="288"/>
      <c r="AB38" s="288"/>
      <c r="AC38" s="288"/>
      <c r="AD38" s="288"/>
      <c r="AE38" s="288"/>
      <c r="AF38" s="288"/>
      <c r="AG38" s="288"/>
      <c r="AH38" s="288"/>
      <c r="AI38" s="288"/>
      <c r="AJ38" s="288"/>
      <c r="AK38" s="288"/>
      <c r="AL38" s="288"/>
      <c r="AM38" s="288"/>
      <c r="AN38" s="288"/>
      <c r="AO38" s="288"/>
      <c r="AP38" s="288"/>
      <c r="AQ38" s="288"/>
      <c r="AR38" s="288"/>
      <c r="AS38" s="288"/>
      <c r="AT38" s="288"/>
      <c r="AU38" s="288"/>
    </row>
    <row r="39" spans="2:47" ht="24" x14ac:dyDescent="0.2">
      <c r="B39" s="25" t="s">
        <v>26</v>
      </c>
      <c r="C39" s="12"/>
      <c r="D39" s="26">
        <v>946</v>
      </c>
      <c r="E39" s="13">
        <v>1574</v>
      </c>
      <c r="F39" s="13">
        <v>2171</v>
      </c>
      <c r="H39" s="19" t="s">
        <v>61</v>
      </c>
      <c r="I39" s="38">
        <v>30.2</v>
      </c>
      <c r="J39" s="14">
        <v>0</v>
      </c>
      <c r="K39" s="15">
        <v>0</v>
      </c>
      <c r="L39" s="15">
        <v>0</v>
      </c>
      <c r="N39" s="20" t="s">
        <v>116</v>
      </c>
      <c r="O39" s="54"/>
      <c r="P39" s="56"/>
      <c r="Q39" s="55"/>
      <c r="R39" s="56"/>
      <c r="T39" s="337"/>
      <c r="U39" s="337"/>
      <c r="V39" s="337"/>
      <c r="W39" s="337"/>
      <c r="X39" s="337"/>
      <c r="Y39" s="337"/>
      <c r="Z39" s="337"/>
      <c r="AA39" s="337"/>
      <c r="AB39" s="337"/>
      <c r="AC39" s="337"/>
      <c r="AD39" s="337"/>
      <c r="AE39" s="337"/>
      <c r="AF39" s="337"/>
      <c r="AG39" s="337"/>
      <c r="AH39" s="337"/>
      <c r="AI39" s="337"/>
      <c r="AJ39" s="337"/>
      <c r="AK39" s="337"/>
      <c r="AL39" s="337"/>
      <c r="AM39" s="337"/>
      <c r="AN39" s="337"/>
      <c r="AO39" s="337"/>
      <c r="AP39" s="337"/>
      <c r="AQ39" s="337"/>
      <c r="AR39" s="337"/>
      <c r="AS39" s="337"/>
      <c r="AT39" s="337"/>
      <c r="AU39" s="337"/>
    </row>
    <row r="40" spans="2:47" ht="36" customHeight="1" x14ac:dyDescent="0.2">
      <c r="B40" s="25" t="s">
        <v>27</v>
      </c>
      <c r="C40" s="29"/>
      <c r="D40" s="28">
        <v>946</v>
      </c>
      <c r="E40" s="27">
        <v>1574</v>
      </c>
      <c r="F40" s="27">
        <v>2171</v>
      </c>
      <c r="H40" s="19" t="s">
        <v>62</v>
      </c>
      <c r="I40" s="38">
        <v>39</v>
      </c>
      <c r="J40" s="14">
        <v>764099</v>
      </c>
      <c r="K40" s="15">
        <v>945153</v>
      </c>
      <c r="L40" s="15">
        <v>1134283</v>
      </c>
      <c r="N40" s="19" t="s">
        <v>31</v>
      </c>
      <c r="O40" s="54"/>
      <c r="P40" s="56">
        <v>13273</v>
      </c>
      <c r="Q40" s="55">
        <v>7031</v>
      </c>
      <c r="R40" s="56">
        <v>-66277</v>
      </c>
      <c r="T40" s="451" t="s">
        <v>1</v>
      </c>
      <c r="U40" s="338" t="s">
        <v>34</v>
      </c>
      <c r="V40" s="339"/>
      <c r="W40" s="340"/>
      <c r="X40" s="338" t="s">
        <v>35</v>
      </c>
      <c r="Y40" s="339"/>
      <c r="Z40" s="340"/>
      <c r="AA40" s="338" t="s">
        <v>292</v>
      </c>
      <c r="AB40" s="339"/>
      <c r="AC40" s="340"/>
      <c r="AD40" s="338" t="s">
        <v>258</v>
      </c>
      <c r="AE40" s="339"/>
      <c r="AF40" s="340"/>
      <c r="AG40" s="338" t="s">
        <v>30</v>
      </c>
      <c r="AH40" s="339"/>
      <c r="AI40" s="340"/>
      <c r="AJ40" s="338" t="s">
        <v>259</v>
      </c>
      <c r="AK40" s="339"/>
      <c r="AL40" s="340"/>
      <c r="AM40" s="338" t="s">
        <v>39</v>
      </c>
      <c r="AN40" s="339"/>
      <c r="AO40" s="340"/>
      <c r="AP40" s="338" t="s">
        <v>260</v>
      </c>
      <c r="AQ40" s="341"/>
      <c r="AR40" s="342"/>
      <c r="AS40" s="343" t="s">
        <v>220</v>
      </c>
      <c r="AT40" s="339"/>
      <c r="AU40" s="339"/>
    </row>
    <row r="41" spans="2:47" ht="24" x14ac:dyDescent="0.2">
      <c r="H41" s="19" t="s">
        <v>63</v>
      </c>
      <c r="I41" s="38">
        <v>31</v>
      </c>
      <c r="J41" s="14">
        <v>0</v>
      </c>
      <c r="K41" s="15">
        <v>0</v>
      </c>
      <c r="L41" s="15">
        <v>0</v>
      </c>
      <c r="N41" s="19" t="s">
        <v>33</v>
      </c>
      <c r="O41" s="54"/>
      <c r="P41" s="56">
        <v>0</v>
      </c>
      <c r="Q41" s="55">
        <v>0</v>
      </c>
      <c r="R41" s="56">
        <v>0</v>
      </c>
      <c r="T41" s="452"/>
      <c r="U41" s="344">
        <v>2024</v>
      </c>
      <c r="V41" s="344">
        <v>2023</v>
      </c>
      <c r="W41" s="345">
        <v>2022</v>
      </c>
      <c r="X41" s="344">
        <v>2024</v>
      </c>
      <c r="Y41" s="344">
        <v>2023</v>
      </c>
      <c r="Z41" s="345">
        <v>2022</v>
      </c>
      <c r="AA41" s="344">
        <v>2024</v>
      </c>
      <c r="AB41" s="344">
        <v>2023</v>
      </c>
      <c r="AC41" s="345">
        <v>2022</v>
      </c>
      <c r="AD41" s="344">
        <v>2024</v>
      </c>
      <c r="AE41" s="344">
        <v>2023</v>
      </c>
      <c r="AF41" s="345">
        <v>2022</v>
      </c>
      <c r="AG41" s="344">
        <v>2024</v>
      </c>
      <c r="AH41" s="344">
        <v>2023</v>
      </c>
      <c r="AI41" s="345">
        <v>2022</v>
      </c>
      <c r="AJ41" s="344">
        <v>2024</v>
      </c>
      <c r="AK41" s="344">
        <v>2023</v>
      </c>
      <c r="AL41" s="345">
        <v>2022</v>
      </c>
      <c r="AM41" s="344">
        <v>2024</v>
      </c>
      <c r="AN41" s="344">
        <v>2023</v>
      </c>
      <c r="AO41" s="345">
        <v>2022</v>
      </c>
      <c r="AP41" s="344">
        <v>2024</v>
      </c>
      <c r="AQ41" s="346">
        <v>2023</v>
      </c>
      <c r="AR41" s="345">
        <v>2022</v>
      </c>
      <c r="AS41" s="347">
        <v>2024</v>
      </c>
      <c r="AT41" s="348">
        <v>2023</v>
      </c>
      <c r="AU41" s="345">
        <v>2022</v>
      </c>
    </row>
    <row r="42" spans="2:47" x14ac:dyDescent="0.2">
      <c r="H42" s="20" t="s">
        <v>64</v>
      </c>
      <c r="I42" s="38"/>
      <c r="J42" s="18">
        <v>135377187</v>
      </c>
      <c r="K42" s="17">
        <v>145578978</v>
      </c>
      <c r="L42" s="17">
        <v>157734628</v>
      </c>
      <c r="N42" s="19" t="s">
        <v>117</v>
      </c>
      <c r="O42" s="54"/>
      <c r="P42" s="56">
        <v>2333115</v>
      </c>
      <c r="Q42" s="55">
        <v>-2515122</v>
      </c>
      <c r="R42" s="56">
        <v>-1670447</v>
      </c>
      <c r="T42" s="312" t="s">
        <v>293</v>
      </c>
      <c r="U42" s="349"/>
      <c r="V42" s="349"/>
      <c r="W42" s="349"/>
      <c r="X42" s="349"/>
      <c r="Y42" s="349"/>
      <c r="Z42" s="349"/>
      <c r="AA42" s="349"/>
      <c r="AB42" s="349"/>
      <c r="AC42" s="349"/>
      <c r="AD42" s="349"/>
      <c r="AE42" s="349"/>
      <c r="AF42" s="349"/>
      <c r="AG42" s="349"/>
      <c r="AH42" s="349"/>
      <c r="AI42" s="349"/>
      <c r="AJ42" s="349"/>
      <c r="AK42" s="349"/>
      <c r="AL42" s="349"/>
      <c r="AM42" s="349"/>
      <c r="AN42" s="349"/>
      <c r="AO42" s="349"/>
      <c r="AP42" s="349"/>
      <c r="AQ42" s="350"/>
      <c r="AR42" s="351"/>
      <c r="AS42" s="352"/>
      <c r="AT42" s="353"/>
      <c r="AU42" s="354"/>
    </row>
    <row r="43" spans="2:47" ht="24" x14ac:dyDescent="0.2">
      <c r="H43" s="20" t="s">
        <v>65</v>
      </c>
      <c r="I43" s="38"/>
      <c r="J43" s="14"/>
      <c r="K43" s="15"/>
      <c r="L43" s="15"/>
      <c r="N43" s="19" t="s">
        <v>118</v>
      </c>
      <c r="O43" s="54"/>
      <c r="P43" s="56">
        <v>-7101644</v>
      </c>
      <c r="Q43" s="55">
        <v>-974379</v>
      </c>
      <c r="R43" s="56">
        <v>-11394994</v>
      </c>
      <c r="T43" s="313" t="s">
        <v>294</v>
      </c>
      <c r="U43" s="355">
        <v>6051695</v>
      </c>
      <c r="V43" s="355">
        <v>2981666</v>
      </c>
      <c r="W43" s="355">
        <v>584646</v>
      </c>
      <c r="X43" s="355">
        <v>60404373</v>
      </c>
      <c r="Y43" s="355">
        <v>51490385</v>
      </c>
      <c r="Z43" s="355">
        <v>51976672</v>
      </c>
      <c r="AA43" s="355">
        <v>1754124</v>
      </c>
      <c r="AB43" s="356" t="s">
        <v>295</v>
      </c>
      <c r="AC43" s="356">
        <v>3515798</v>
      </c>
      <c r="AD43" s="355">
        <v>35592205</v>
      </c>
      <c r="AE43" s="355">
        <v>29744374</v>
      </c>
      <c r="AF43" s="355">
        <v>23474969</v>
      </c>
      <c r="AG43" s="355">
        <v>42070504</v>
      </c>
      <c r="AH43" s="355">
        <v>56012010</v>
      </c>
      <c r="AI43" s="355">
        <v>51310820</v>
      </c>
      <c r="AJ43" s="355">
        <v>37082</v>
      </c>
      <c r="AK43" s="355">
        <v>8515</v>
      </c>
      <c r="AL43" s="355">
        <v>7324</v>
      </c>
      <c r="AM43" s="355">
        <v>758994</v>
      </c>
      <c r="AN43" s="355">
        <v>726869</v>
      </c>
      <c r="AO43" s="355">
        <v>758861</v>
      </c>
      <c r="AP43" s="355">
        <v>14643172</v>
      </c>
      <c r="AQ43" s="357">
        <v>13609071</v>
      </c>
      <c r="AR43" s="358">
        <v>15018774</v>
      </c>
      <c r="AS43" s="359">
        <v>161312148</v>
      </c>
      <c r="AT43" s="360">
        <v>154572889</v>
      </c>
      <c r="AU43" s="361">
        <v>146647864</v>
      </c>
    </row>
    <row r="44" spans="2:47" x14ac:dyDescent="0.2">
      <c r="H44" s="19" t="s">
        <v>66</v>
      </c>
      <c r="I44" s="38">
        <v>40</v>
      </c>
      <c r="J44" s="14">
        <v>2279067</v>
      </c>
      <c r="K44" s="15">
        <v>2279067</v>
      </c>
      <c r="L44" s="15">
        <v>2279067</v>
      </c>
      <c r="N44" s="19" t="s">
        <v>40</v>
      </c>
      <c r="O44" s="54"/>
      <c r="P44" s="56">
        <v>0</v>
      </c>
      <c r="Q44" s="55">
        <v>0</v>
      </c>
      <c r="R44" s="56">
        <v>0</v>
      </c>
      <c r="T44" s="314" t="s">
        <v>296</v>
      </c>
      <c r="U44" s="362">
        <v>-618</v>
      </c>
      <c r="V44" s="362">
        <v>-301</v>
      </c>
      <c r="W44" s="362">
        <v>-70</v>
      </c>
      <c r="X44" s="362">
        <v>-492527</v>
      </c>
      <c r="Y44" s="362">
        <v>-436642</v>
      </c>
      <c r="Z44" s="362">
        <v>-484425</v>
      </c>
      <c r="AA44" s="363" t="s">
        <v>295</v>
      </c>
      <c r="AB44" s="363" t="s">
        <v>295</v>
      </c>
      <c r="AC44" s="363"/>
      <c r="AD44" s="363" t="s">
        <v>295</v>
      </c>
      <c r="AE44" s="362">
        <v>-2229</v>
      </c>
      <c r="AF44" s="362">
        <v>-2249</v>
      </c>
      <c r="AG44" s="362">
        <v>-1038</v>
      </c>
      <c r="AH44" s="362">
        <v>-1268</v>
      </c>
      <c r="AI44" s="362">
        <v>-1342</v>
      </c>
      <c r="AJ44" s="362">
        <v>-481</v>
      </c>
      <c r="AK44" s="362">
        <v>-121</v>
      </c>
      <c r="AL44" s="362">
        <v>-127</v>
      </c>
      <c r="AM44" s="362">
        <v>-897</v>
      </c>
      <c r="AN44" s="362">
        <v>-1011</v>
      </c>
      <c r="AO44" s="362">
        <v>-1109</v>
      </c>
      <c r="AP44" s="362">
        <v>-71591</v>
      </c>
      <c r="AQ44" s="364">
        <v>-65560</v>
      </c>
      <c r="AR44" s="365">
        <v>-72093</v>
      </c>
      <c r="AS44" s="366">
        <v>-567151</v>
      </c>
      <c r="AT44" s="367">
        <v>-507131</v>
      </c>
      <c r="AU44" s="368">
        <v>-561415</v>
      </c>
    </row>
    <row r="45" spans="2:47" ht="24.75" thickBot="1" x14ac:dyDescent="0.25">
      <c r="H45" s="19" t="s">
        <v>67</v>
      </c>
      <c r="I45" s="38"/>
      <c r="J45" s="14">
        <v>771527</v>
      </c>
      <c r="K45" s="15">
        <v>771527</v>
      </c>
      <c r="L45" s="15">
        <v>771527</v>
      </c>
      <c r="N45" s="19" t="s">
        <v>119</v>
      </c>
      <c r="O45" s="54"/>
      <c r="P45" s="56">
        <v>111969</v>
      </c>
      <c r="Q45" s="55">
        <v>-1934848</v>
      </c>
      <c r="R45" s="56">
        <v>618506</v>
      </c>
      <c r="T45" s="315" t="s">
        <v>297</v>
      </c>
      <c r="U45" s="316">
        <v>6051077</v>
      </c>
      <c r="V45" s="316">
        <v>2981365</v>
      </c>
      <c r="W45" s="316">
        <f>SUM(W43:W44)</f>
        <v>584576</v>
      </c>
      <c r="X45" s="316">
        <v>59911846</v>
      </c>
      <c r="Y45" s="316">
        <v>51053743</v>
      </c>
      <c r="Z45" s="316">
        <f>SUM(Z43:Z44)</f>
        <v>51492247</v>
      </c>
      <c r="AA45" s="316">
        <v>1754124</v>
      </c>
      <c r="AB45" s="317" t="s">
        <v>295</v>
      </c>
      <c r="AC45" s="316">
        <f>SUM(AC43:AC44)</f>
        <v>3515798</v>
      </c>
      <c r="AD45" s="316">
        <v>35592205</v>
      </c>
      <c r="AE45" s="316">
        <v>29742145</v>
      </c>
      <c r="AF45" s="316">
        <f>SUM(AF43:AF44)</f>
        <v>23472720</v>
      </c>
      <c r="AG45" s="316">
        <v>42069466</v>
      </c>
      <c r="AH45" s="316">
        <v>56010743</v>
      </c>
      <c r="AI45" s="316">
        <f>SUM(AI43:AI44)</f>
        <v>51309478</v>
      </c>
      <c r="AJ45" s="316">
        <v>36601</v>
      </c>
      <c r="AK45" s="316">
        <v>8393</v>
      </c>
      <c r="AL45" s="316">
        <f>SUM(AL43:AL44)</f>
        <v>7197</v>
      </c>
      <c r="AM45" s="316">
        <v>758097</v>
      </c>
      <c r="AN45" s="316">
        <v>725859</v>
      </c>
      <c r="AO45" s="316">
        <f>SUM(AO43:AO44)</f>
        <v>757752</v>
      </c>
      <c r="AP45" s="316">
        <v>14571581</v>
      </c>
      <c r="AQ45" s="318">
        <v>13543510</v>
      </c>
      <c r="AR45" s="316">
        <f>SUM(AR43:AR44)</f>
        <v>14946681</v>
      </c>
      <c r="AS45" s="319">
        <v>160744997</v>
      </c>
      <c r="AT45" s="320">
        <v>154065758</v>
      </c>
      <c r="AU45" s="321">
        <f>SUM(AU43:AU44)</f>
        <v>146086449</v>
      </c>
    </row>
    <row r="46" spans="2:47" x14ac:dyDescent="0.2">
      <c r="H46" s="19" t="s">
        <v>68</v>
      </c>
      <c r="I46" s="38"/>
      <c r="J46" s="14">
        <v>0</v>
      </c>
      <c r="K46" s="15">
        <v>0</v>
      </c>
      <c r="L46" s="15">
        <v>0</v>
      </c>
      <c r="N46" s="19" t="s">
        <v>120</v>
      </c>
      <c r="O46" s="54"/>
      <c r="P46" s="56">
        <v>-1907029</v>
      </c>
      <c r="Q46" s="55">
        <v>-2162139</v>
      </c>
      <c r="R46" s="56">
        <v>-142768</v>
      </c>
      <c r="T46" s="369"/>
      <c r="U46" s="323"/>
      <c r="V46" s="323"/>
      <c r="W46" s="323"/>
      <c r="X46" s="323"/>
      <c r="Y46" s="323"/>
      <c r="Z46" s="323"/>
      <c r="AA46" s="323"/>
      <c r="AB46" s="323"/>
      <c r="AC46" s="323"/>
      <c r="AD46" s="323"/>
      <c r="AE46" s="323"/>
      <c r="AF46" s="323"/>
      <c r="AG46" s="323"/>
      <c r="AH46" s="323"/>
      <c r="AI46" s="323"/>
      <c r="AJ46" s="323"/>
      <c r="AK46" s="323"/>
      <c r="AL46" s="323"/>
      <c r="AM46" s="323"/>
      <c r="AN46" s="323"/>
      <c r="AO46" s="323"/>
      <c r="AP46" s="323"/>
      <c r="AQ46" s="324"/>
      <c r="AR46" s="370"/>
      <c r="AS46" s="371"/>
      <c r="AT46" s="372"/>
      <c r="AU46" s="373"/>
    </row>
    <row r="47" spans="2:47" x14ac:dyDescent="0.2">
      <c r="H47" s="19" t="s">
        <v>69</v>
      </c>
      <c r="I47" s="38"/>
      <c r="J47" s="14">
        <v>0</v>
      </c>
      <c r="K47" s="15">
        <v>0</v>
      </c>
      <c r="L47" s="15">
        <v>0</v>
      </c>
      <c r="N47" s="19" t="s">
        <v>121</v>
      </c>
      <c r="O47" s="54"/>
      <c r="P47" s="56">
        <v>0</v>
      </c>
      <c r="Q47" s="55">
        <v>0</v>
      </c>
      <c r="R47" s="56">
        <v>0</v>
      </c>
      <c r="T47" s="322" t="s">
        <v>298</v>
      </c>
      <c r="U47" s="323"/>
      <c r="V47" s="323"/>
      <c r="W47" s="323"/>
      <c r="X47" s="323"/>
      <c r="Y47" s="323"/>
      <c r="Z47" s="323"/>
      <c r="AA47" s="323"/>
      <c r="AB47" s="323"/>
      <c r="AC47" s="323"/>
      <c r="AD47" s="323"/>
      <c r="AE47" s="323"/>
      <c r="AF47" s="323"/>
      <c r="AG47" s="323"/>
      <c r="AH47" s="323"/>
      <c r="AI47" s="323"/>
      <c r="AJ47" s="323"/>
      <c r="AK47" s="323"/>
      <c r="AL47" s="323"/>
      <c r="AM47" s="323"/>
      <c r="AN47" s="323"/>
      <c r="AO47" s="323"/>
      <c r="AP47" s="323"/>
      <c r="AQ47" s="324"/>
      <c r="AR47" s="370"/>
      <c r="AS47" s="371"/>
      <c r="AT47" s="372"/>
      <c r="AU47" s="373"/>
    </row>
    <row r="48" spans="2:47" ht="24" x14ac:dyDescent="0.2">
      <c r="H48" s="19" t="s">
        <v>70</v>
      </c>
      <c r="I48" s="39"/>
      <c r="J48" s="14">
        <v>-16967</v>
      </c>
      <c r="K48" s="15">
        <v>0</v>
      </c>
      <c r="L48" s="15">
        <v>-477</v>
      </c>
      <c r="N48" s="19" t="s">
        <v>122</v>
      </c>
      <c r="O48" s="54"/>
      <c r="P48" s="56">
        <v>200266</v>
      </c>
      <c r="Q48" s="55">
        <v>-260834</v>
      </c>
      <c r="R48" s="56">
        <v>-429891</v>
      </c>
      <c r="T48" s="313" t="s">
        <v>294</v>
      </c>
      <c r="U48" s="356" t="s">
        <v>295</v>
      </c>
      <c r="V48" s="356" t="s">
        <v>295</v>
      </c>
      <c r="W48" s="356">
        <v>0</v>
      </c>
      <c r="X48" s="355">
        <v>13948665</v>
      </c>
      <c r="Y48" s="355">
        <v>10295156</v>
      </c>
      <c r="Z48" s="355">
        <v>10243676</v>
      </c>
      <c r="AA48" s="356" t="s">
        <v>295</v>
      </c>
      <c r="AB48" s="356" t="s">
        <v>295</v>
      </c>
      <c r="AC48" s="356">
        <v>0</v>
      </c>
      <c r="AD48" s="355">
        <v>5252</v>
      </c>
      <c r="AE48" s="355">
        <v>5252</v>
      </c>
      <c r="AF48" s="355">
        <v>5254</v>
      </c>
      <c r="AG48" s="356" t="s">
        <v>295</v>
      </c>
      <c r="AH48" s="356" t="s">
        <v>295</v>
      </c>
      <c r="AI48" s="356">
        <v>0</v>
      </c>
      <c r="AJ48" s="355">
        <v>2141</v>
      </c>
      <c r="AK48" s="355">
        <v>1202</v>
      </c>
      <c r="AL48" s="355">
        <v>2125</v>
      </c>
      <c r="AM48" s="355">
        <v>13</v>
      </c>
      <c r="AN48" s="355">
        <v>227</v>
      </c>
      <c r="AO48" s="355">
        <v>182</v>
      </c>
      <c r="AP48" s="355">
        <v>1018474</v>
      </c>
      <c r="AQ48" s="357">
        <v>643409</v>
      </c>
      <c r="AR48" s="358">
        <v>964860</v>
      </c>
      <c r="AS48" s="359">
        <v>14974544</v>
      </c>
      <c r="AT48" s="360">
        <v>10945247</v>
      </c>
      <c r="AU48" s="361">
        <v>11215097</v>
      </c>
    </row>
    <row r="49" spans="8:47" x14ac:dyDescent="0.2">
      <c r="H49" s="19" t="s">
        <v>71</v>
      </c>
      <c r="I49" s="39"/>
      <c r="J49" s="14">
        <v>9898860</v>
      </c>
      <c r="K49" s="15">
        <v>10748513</v>
      </c>
      <c r="L49" s="15">
        <v>12125995</v>
      </c>
      <c r="N49" s="19" t="s">
        <v>44</v>
      </c>
      <c r="O49" s="54"/>
      <c r="P49" s="56">
        <v>0</v>
      </c>
      <c r="Q49" s="55">
        <v>0</v>
      </c>
      <c r="R49" s="56">
        <v>0</v>
      </c>
      <c r="T49" s="314" t="s">
        <v>296</v>
      </c>
      <c r="U49" s="363" t="s">
        <v>295</v>
      </c>
      <c r="V49" s="363" t="s">
        <v>295</v>
      </c>
      <c r="W49" s="363">
        <v>0</v>
      </c>
      <c r="X49" s="362">
        <v>-1523131</v>
      </c>
      <c r="Y49" s="362">
        <v>-1365875</v>
      </c>
      <c r="Z49" s="362">
        <v>-2022511</v>
      </c>
      <c r="AA49" s="363" t="s">
        <v>295</v>
      </c>
      <c r="AB49" s="363" t="s">
        <v>295</v>
      </c>
      <c r="AC49" s="363">
        <v>0</v>
      </c>
      <c r="AD49" s="362">
        <v>-551</v>
      </c>
      <c r="AE49" s="362">
        <v>-552</v>
      </c>
      <c r="AF49" s="362">
        <v>-552</v>
      </c>
      <c r="AG49" s="363" t="s">
        <v>295</v>
      </c>
      <c r="AH49" s="363" t="s">
        <v>295</v>
      </c>
      <c r="AI49" s="363">
        <v>0</v>
      </c>
      <c r="AJ49" s="362">
        <v>-416</v>
      </c>
      <c r="AK49" s="362">
        <v>-233</v>
      </c>
      <c r="AL49" s="362">
        <v>-321</v>
      </c>
      <c r="AM49" s="362">
        <v>-2</v>
      </c>
      <c r="AN49" s="362">
        <v>-28</v>
      </c>
      <c r="AO49" s="362">
        <v>-22</v>
      </c>
      <c r="AP49" s="362">
        <v>-153269</v>
      </c>
      <c r="AQ49" s="364">
        <v>-67412</v>
      </c>
      <c r="AR49" s="365">
        <v>-110760</v>
      </c>
      <c r="AS49" s="366">
        <v>-1677369</v>
      </c>
      <c r="AT49" s="367">
        <v>-1434099</v>
      </c>
      <c r="AU49" s="368">
        <v>-2134166</v>
      </c>
    </row>
    <row r="50" spans="8:47" ht="24.75" thickBot="1" x14ac:dyDescent="0.25">
      <c r="H50" s="19" t="s">
        <v>72</v>
      </c>
      <c r="I50" s="39"/>
      <c r="J50" s="14">
        <v>2692347</v>
      </c>
      <c r="K50" s="15">
        <v>4272463</v>
      </c>
      <c r="L50" s="15">
        <v>5771261</v>
      </c>
      <c r="N50" s="19" t="s">
        <v>45</v>
      </c>
      <c r="O50" s="54" t="s">
        <v>123</v>
      </c>
      <c r="P50" s="56">
        <v>3452</v>
      </c>
      <c r="Q50" s="55">
        <v>0</v>
      </c>
      <c r="R50" s="56">
        <v>1868</v>
      </c>
      <c r="T50" s="315" t="s">
        <v>297</v>
      </c>
      <c r="U50" s="317" t="s">
        <v>295</v>
      </c>
      <c r="V50" s="317" t="s">
        <v>295</v>
      </c>
      <c r="W50" s="317">
        <f>SUM(W48:W49)</f>
        <v>0</v>
      </c>
      <c r="X50" s="316">
        <v>12425534</v>
      </c>
      <c r="Y50" s="316">
        <v>8929281</v>
      </c>
      <c r="Z50" s="316">
        <f>SUM(Z48:Z49)</f>
        <v>8221165</v>
      </c>
      <c r="AA50" s="317" t="s">
        <v>295</v>
      </c>
      <c r="AB50" s="317" t="s">
        <v>295</v>
      </c>
      <c r="AC50" s="316">
        <f>SUM(AC48:AC49)</f>
        <v>0</v>
      </c>
      <c r="AD50" s="316">
        <v>4701</v>
      </c>
      <c r="AE50" s="316">
        <v>4701</v>
      </c>
      <c r="AF50" s="316">
        <f>SUM(AF48:AF49)</f>
        <v>4702</v>
      </c>
      <c r="AG50" s="317" t="s">
        <v>295</v>
      </c>
      <c r="AH50" s="317" t="s">
        <v>295</v>
      </c>
      <c r="AI50" s="316">
        <f>SUM(AI48:AI49)</f>
        <v>0</v>
      </c>
      <c r="AJ50" s="316">
        <v>1725</v>
      </c>
      <c r="AK50" s="316">
        <v>970</v>
      </c>
      <c r="AL50" s="316">
        <f>SUM(AL48:AL49)</f>
        <v>1804</v>
      </c>
      <c r="AM50" s="316">
        <v>11</v>
      </c>
      <c r="AN50" s="316">
        <v>199</v>
      </c>
      <c r="AO50" s="316">
        <f>SUM(AO48:AO49)</f>
        <v>160</v>
      </c>
      <c r="AP50" s="316">
        <v>865205</v>
      </c>
      <c r="AQ50" s="318">
        <v>575997</v>
      </c>
      <c r="AR50" s="316">
        <f>SUM(AR48:AR49)</f>
        <v>854100</v>
      </c>
      <c r="AS50" s="319">
        <v>13297175</v>
      </c>
      <c r="AT50" s="320">
        <v>9511148</v>
      </c>
      <c r="AU50" s="321">
        <f>SUM(AU48:AU49)</f>
        <v>9080931</v>
      </c>
    </row>
    <row r="51" spans="8:47" ht="24" x14ac:dyDescent="0.2">
      <c r="H51" s="20" t="s">
        <v>73</v>
      </c>
      <c r="I51" s="39"/>
      <c r="J51" s="18">
        <v>15624834</v>
      </c>
      <c r="K51" s="17">
        <v>18071570</v>
      </c>
      <c r="L51" s="17">
        <v>20947373</v>
      </c>
      <c r="N51" s="20" t="s">
        <v>124</v>
      </c>
      <c r="O51" s="54"/>
      <c r="P51" s="56"/>
      <c r="Q51" s="55"/>
      <c r="R51" s="56"/>
      <c r="T51" s="374" t="s">
        <v>299</v>
      </c>
      <c r="U51" s="323"/>
      <c r="V51" s="323"/>
      <c r="W51" s="323"/>
      <c r="X51" s="323"/>
      <c r="Y51" s="323"/>
      <c r="Z51" s="323"/>
      <c r="AA51" s="323"/>
      <c r="AB51" s="323"/>
      <c r="AC51" s="323"/>
      <c r="AD51" s="323"/>
      <c r="AE51" s="323"/>
      <c r="AF51" s="323"/>
      <c r="AG51" s="323"/>
      <c r="AH51" s="323"/>
      <c r="AI51" s="323"/>
      <c r="AJ51" s="323"/>
      <c r="AK51" s="323"/>
      <c r="AL51" s="323"/>
      <c r="AM51" s="323"/>
      <c r="AN51" s="323"/>
      <c r="AO51" s="323"/>
      <c r="AP51" s="323"/>
      <c r="AQ51" s="324"/>
      <c r="AR51" s="370"/>
      <c r="AS51" s="371"/>
      <c r="AT51" s="372"/>
      <c r="AU51" s="373"/>
    </row>
    <row r="52" spans="8:47" ht="24" x14ac:dyDescent="0.2">
      <c r="H52" s="19" t="s">
        <v>74</v>
      </c>
      <c r="I52" s="39"/>
      <c r="J52" s="14">
        <v>47727</v>
      </c>
      <c r="K52" s="15">
        <v>30789</v>
      </c>
      <c r="L52" s="15">
        <v>37787</v>
      </c>
      <c r="N52" s="19" t="s">
        <v>48</v>
      </c>
      <c r="O52" s="54"/>
      <c r="P52" s="56">
        <v>-2623</v>
      </c>
      <c r="Q52" s="55">
        <v>599</v>
      </c>
      <c r="R52" s="56">
        <v>1048</v>
      </c>
      <c r="T52" s="313" t="s">
        <v>294</v>
      </c>
      <c r="U52" s="356" t="s">
        <v>295</v>
      </c>
      <c r="V52" s="356" t="s">
        <v>295</v>
      </c>
      <c r="W52" s="356">
        <v>0</v>
      </c>
      <c r="X52" s="355">
        <v>1915191</v>
      </c>
      <c r="Y52" s="355">
        <v>1708697</v>
      </c>
      <c r="Z52" s="355">
        <v>1466285</v>
      </c>
      <c r="AA52" s="356" t="s">
        <v>295</v>
      </c>
      <c r="AB52" s="356" t="s">
        <v>295</v>
      </c>
      <c r="AC52" s="356">
        <v>0</v>
      </c>
      <c r="AD52" s="356" t="s">
        <v>295</v>
      </c>
      <c r="AE52" s="356" t="s">
        <v>295</v>
      </c>
      <c r="AF52" s="356">
        <v>0</v>
      </c>
      <c r="AG52" s="355">
        <v>206</v>
      </c>
      <c r="AH52" s="356" t="s">
        <v>295</v>
      </c>
      <c r="AI52" s="356">
        <v>0</v>
      </c>
      <c r="AJ52" s="355">
        <v>5426</v>
      </c>
      <c r="AK52" s="355">
        <v>6410</v>
      </c>
      <c r="AL52" s="355">
        <v>6639</v>
      </c>
      <c r="AM52" s="355">
        <v>69544</v>
      </c>
      <c r="AN52" s="355">
        <v>30758</v>
      </c>
      <c r="AO52" s="355">
        <v>15467</v>
      </c>
      <c r="AP52" s="355">
        <v>17199</v>
      </c>
      <c r="AQ52" s="357">
        <v>376687</v>
      </c>
      <c r="AR52" s="358">
        <v>270285</v>
      </c>
      <c r="AS52" s="359">
        <v>2007566</v>
      </c>
      <c r="AT52" s="360">
        <v>2122552</v>
      </c>
      <c r="AU52" s="361">
        <v>1758676</v>
      </c>
    </row>
    <row r="53" spans="8:47" x14ac:dyDescent="0.2">
      <c r="H53" s="20" t="s">
        <v>232</v>
      </c>
      <c r="I53" s="39"/>
      <c r="J53" s="18">
        <v>15672561</v>
      </c>
      <c r="K53" s="17">
        <v>18102359</v>
      </c>
      <c r="L53" s="17">
        <v>20985160</v>
      </c>
      <c r="N53" s="19" t="s">
        <v>125</v>
      </c>
      <c r="O53" s="54"/>
      <c r="P53" s="56">
        <v>0</v>
      </c>
      <c r="Q53" s="55">
        <v>0</v>
      </c>
      <c r="R53" s="56">
        <v>0</v>
      </c>
      <c r="T53" s="314" t="s">
        <v>296</v>
      </c>
      <c r="U53" s="363" t="s">
        <v>295</v>
      </c>
      <c r="V53" s="363" t="s">
        <v>295</v>
      </c>
      <c r="W53" s="363">
        <v>0</v>
      </c>
      <c r="X53" s="362">
        <v>-1014860</v>
      </c>
      <c r="Y53" s="362">
        <v>-1176230</v>
      </c>
      <c r="Z53" s="362">
        <v>-1091973</v>
      </c>
      <c r="AA53" s="363" t="s">
        <v>295</v>
      </c>
      <c r="AB53" s="363" t="s">
        <v>295</v>
      </c>
      <c r="AC53" s="363">
        <v>0</v>
      </c>
      <c r="AD53" s="363" t="s">
        <v>295</v>
      </c>
      <c r="AE53" s="363" t="s">
        <v>295</v>
      </c>
      <c r="AF53" s="363">
        <v>0</v>
      </c>
      <c r="AG53" s="362">
        <v>-206</v>
      </c>
      <c r="AH53" s="363" t="s">
        <v>295</v>
      </c>
      <c r="AI53" s="363">
        <v>0</v>
      </c>
      <c r="AJ53" s="362">
        <v>-4649</v>
      </c>
      <c r="AK53" s="362">
        <v>-5528</v>
      </c>
      <c r="AL53" s="362">
        <v>-5341</v>
      </c>
      <c r="AM53" s="362">
        <v>-68606</v>
      </c>
      <c r="AN53" s="362">
        <v>-30139</v>
      </c>
      <c r="AO53" s="362">
        <v>-13499</v>
      </c>
      <c r="AP53" s="362">
        <v>-8777</v>
      </c>
      <c r="AQ53" s="364">
        <v>-318332</v>
      </c>
      <c r="AR53" s="365">
        <v>-231437</v>
      </c>
      <c r="AS53" s="366">
        <v>-1097098</v>
      </c>
      <c r="AT53" s="367">
        <v>-1530229</v>
      </c>
      <c r="AU53" s="368">
        <v>-1342250</v>
      </c>
    </row>
    <row r="54" spans="8:47" ht="24.75" thickBot="1" x14ac:dyDescent="0.25">
      <c r="H54" s="20" t="s">
        <v>75</v>
      </c>
      <c r="I54" s="39"/>
      <c r="J54" s="41">
        <v>151049748</v>
      </c>
      <c r="K54" s="40">
        <v>163681337</v>
      </c>
      <c r="L54" s="40">
        <v>178719788</v>
      </c>
      <c r="N54" s="19" t="s">
        <v>126</v>
      </c>
      <c r="O54" s="54"/>
      <c r="P54" s="56">
        <v>-81008</v>
      </c>
      <c r="Q54" s="55">
        <v>260902</v>
      </c>
      <c r="R54" s="56">
        <v>712066</v>
      </c>
      <c r="T54" s="315" t="s">
        <v>297</v>
      </c>
      <c r="U54" s="317" t="s">
        <v>295</v>
      </c>
      <c r="V54" s="317" t="s">
        <v>295</v>
      </c>
      <c r="W54" s="317">
        <f>SUM(W52:W53)</f>
        <v>0</v>
      </c>
      <c r="X54" s="316">
        <v>900331</v>
      </c>
      <c r="Y54" s="316">
        <v>532467</v>
      </c>
      <c r="Z54" s="316">
        <f>SUM(Z52:Z53)</f>
        <v>374312</v>
      </c>
      <c r="AA54" s="317" t="s">
        <v>295</v>
      </c>
      <c r="AB54" s="317" t="s">
        <v>295</v>
      </c>
      <c r="AC54" s="316">
        <f>SUM(AC52:AC53)</f>
        <v>0</v>
      </c>
      <c r="AD54" s="317" t="s">
        <v>295</v>
      </c>
      <c r="AE54" s="317" t="s">
        <v>295</v>
      </c>
      <c r="AF54" s="316">
        <f>SUM(AF52:AF53)</f>
        <v>0</v>
      </c>
      <c r="AG54" s="317" t="s">
        <v>295</v>
      </c>
      <c r="AH54" s="317" t="s">
        <v>295</v>
      </c>
      <c r="AI54" s="316">
        <f>SUM(AI52:AI53)</f>
        <v>0</v>
      </c>
      <c r="AJ54" s="316">
        <v>777</v>
      </c>
      <c r="AK54" s="316">
        <v>882</v>
      </c>
      <c r="AL54" s="316">
        <f>SUM(AL52:AL53)</f>
        <v>1298</v>
      </c>
      <c r="AM54" s="316">
        <v>937</v>
      </c>
      <c r="AN54" s="316">
        <v>619</v>
      </c>
      <c r="AO54" s="316">
        <f>SUM(AO52:AO53)</f>
        <v>1968</v>
      </c>
      <c r="AP54" s="316">
        <v>8422</v>
      </c>
      <c r="AQ54" s="318">
        <v>58355</v>
      </c>
      <c r="AR54" s="316">
        <f>SUM(AR52:AR53)</f>
        <v>38848</v>
      </c>
      <c r="AS54" s="319">
        <v>910468</v>
      </c>
      <c r="AT54" s="320">
        <v>592323</v>
      </c>
      <c r="AU54" s="321">
        <f>SUM(AU52:AU53)</f>
        <v>416426</v>
      </c>
    </row>
    <row r="55" spans="8:47" ht="60" x14ac:dyDescent="0.2">
      <c r="H55" s="19" t="s">
        <v>76</v>
      </c>
      <c r="I55" s="42" t="s">
        <v>77</v>
      </c>
      <c r="J55" s="44">
        <v>18909050</v>
      </c>
      <c r="K55" s="43">
        <v>16751579</v>
      </c>
      <c r="L55" s="43">
        <v>18342141</v>
      </c>
      <c r="N55" s="19" t="s">
        <v>52</v>
      </c>
      <c r="O55" s="54"/>
      <c r="P55" s="56">
        <v>2576549</v>
      </c>
      <c r="Q55" s="55">
        <v>9236450</v>
      </c>
      <c r="R55" s="56">
        <v>10656487</v>
      </c>
      <c r="T55" s="374" t="s">
        <v>300</v>
      </c>
      <c r="U55" s="323">
        <v>6051695</v>
      </c>
      <c r="V55" s="323">
        <v>2981666</v>
      </c>
      <c r="W55" s="323">
        <f>SUM(W45,W50,W54)</f>
        <v>584576</v>
      </c>
      <c r="X55" s="323">
        <v>76268229</v>
      </c>
      <c r="Y55" s="323">
        <v>63494238</v>
      </c>
      <c r="Z55" s="323">
        <f>SUM(Z45,Z50,Z54)</f>
        <v>60087724</v>
      </c>
      <c r="AA55" s="323">
        <v>1754124</v>
      </c>
      <c r="AB55" s="23" t="s">
        <v>295</v>
      </c>
      <c r="AC55" s="323">
        <f>SUM(AC45,AC50,AC54)</f>
        <v>3515798</v>
      </c>
      <c r="AD55" s="323">
        <v>35597457</v>
      </c>
      <c r="AE55" s="323">
        <v>29749626</v>
      </c>
      <c r="AF55" s="323">
        <f>SUM(AF45,AF50,AF54)</f>
        <v>23477422</v>
      </c>
      <c r="AG55" s="323">
        <v>42070711</v>
      </c>
      <c r="AH55" s="323">
        <v>56012010</v>
      </c>
      <c r="AI55" s="323">
        <f>SUM(AI45,AI50,AI54)</f>
        <v>51309478</v>
      </c>
      <c r="AJ55" s="323">
        <v>44649</v>
      </c>
      <c r="AK55" s="323">
        <v>16127</v>
      </c>
      <c r="AL55" s="323">
        <f>SUM(AL45,AL50,AL54)</f>
        <v>10299</v>
      </c>
      <c r="AM55" s="323">
        <v>828550</v>
      </c>
      <c r="AN55" s="323">
        <v>757855</v>
      </c>
      <c r="AO55" s="323">
        <f>SUM(AO45,AO50,AO54)</f>
        <v>759880</v>
      </c>
      <c r="AP55" s="323">
        <v>15678845</v>
      </c>
      <c r="AQ55" s="324">
        <v>14629166</v>
      </c>
      <c r="AR55" s="323">
        <f>SUM(AR45,AR50,AR54)</f>
        <v>15839629</v>
      </c>
      <c r="AS55" s="325">
        <v>178294258</v>
      </c>
      <c r="AT55" s="326">
        <v>167640688</v>
      </c>
      <c r="AU55" s="303">
        <f>SUM(AU45,AU50,AU54)</f>
        <v>155583806</v>
      </c>
    </row>
    <row r="56" spans="8:47" ht="24.75" thickBot="1" x14ac:dyDescent="0.25">
      <c r="H56" s="19" t="s">
        <v>78</v>
      </c>
      <c r="I56" s="45">
        <v>42</v>
      </c>
      <c r="J56" s="28">
        <v>0</v>
      </c>
      <c r="K56" s="27">
        <v>0</v>
      </c>
      <c r="L56" s="27">
        <v>0</v>
      </c>
      <c r="N56" s="19" t="s">
        <v>62</v>
      </c>
      <c r="O56" s="54"/>
      <c r="P56" s="56">
        <v>-723503</v>
      </c>
      <c r="Q56" s="55">
        <v>181058</v>
      </c>
      <c r="R56" s="56">
        <v>-20855</v>
      </c>
      <c r="T56" s="375" t="s">
        <v>301</v>
      </c>
      <c r="U56" s="299">
        <v>-618</v>
      </c>
      <c r="V56" s="299">
        <v>-301</v>
      </c>
      <c r="W56" s="299">
        <v>-70</v>
      </c>
      <c r="X56" s="299">
        <v>-3030518</v>
      </c>
      <c r="Y56" s="299">
        <v>-2978747</v>
      </c>
      <c r="Z56" s="299">
        <v>-3598909</v>
      </c>
      <c r="AA56" s="327" t="s">
        <v>295</v>
      </c>
      <c r="AB56" s="327" t="s">
        <v>295</v>
      </c>
      <c r="AC56" s="327"/>
      <c r="AD56" s="299">
        <v>-551</v>
      </c>
      <c r="AE56" s="299">
        <v>-2780</v>
      </c>
      <c r="AF56" s="299">
        <v>-2801</v>
      </c>
      <c r="AG56" s="299">
        <v>-1245</v>
      </c>
      <c r="AH56" s="299">
        <v>-1268</v>
      </c>
      <c r="AI56" s="299">
        <v>-1342</v>
      </c>
      <c r="AJ56" s="299">
        <v>-5546</v>
      </c>
      <c r="AK56" s="299">
        <v>-5882</v>
      </c>
      <c r="AL56" s="299">
        <v>-5789</v>
      </c>
      <c r="AM56" s="299">
        <v>-69506</v>
      </c>
      <c r="AN56" s="299">
        <v>-31178</v>
      </c>
      <c r="AO56" s="299">
        <v>-14630</v>
      </c>
      <c r="AP56" s="299">
        <v>-233636</v>
      </c>
      <c r="AQ56" s="300">
        <v>-451304</v>
      </c>
      <c r="AR56" s="328">
        <v>414290</v>
      </c>
      <c r="AS56" s="329">
        <v>-3341619</v>
      </c>
      <c r="AT56" s="330">
        <v>-3471459</v>
      </c>
      <c r="AU56" s="301">
        <v>-4037831</v>
      </c>
    </row>
    <row r="57" spans="8:47" ht="24.75" thickTop="1" x14ac:dyDescent="0.2">
      <c r="N57" s="19" t="s">
        <v>63</v>
      </c>
      <c r="O57" s="54"/>
      <c r="P57" s="56">
        <v>0</v>
      </c>
      <c r="Q57" s="55">
        <v>0</v>
      </c>
      <c r="R57" s="56">
        <v>0</v>
      </c>
      <c r="T57" s="331" t="s">
        <v>302</v>
      </c>
      <c r="U57" s="332">
        <v>6051077</v>
      </c>
      <c r="V57" s="332">
        <v>2981365</v>
      </c>
      <c r="W57" s="332">
        <f>W55</f>
        <v>584576</v>
      </c>
      <c r="X57" s="332">
        <v>73237712</v>
      </c>
      <c r="Y57" s="332">
        <v>60515492</v>
      </c>
      <c r="Z57" s="332">
        <f>Z55</f>
        <v>60087724</v>
      </c>
      <c r="AA57" s="332">
        <v>1754124</v>
      </c>
      <c r="AB57" s="333" t="s">
        <v>295</v>
      </c>
      <c r="AC57" s="332">
        <f>AC55</f>
        <v>3515798</v>
      </c>
      <c r="AD57" s="332">
        <v>35596905</v>
      </c>
      <c r="AE57" s="332">
        <v>29746846</v>
      </c>
      <c r="AF57" s="332">
        <f>AF55</f>
        <v>23477422</v>
      </c>
      <c r="AG57" s="332">
        <v>42069466</v>
      </c>
      <c r="AH57" s="332">
        <v>56010743</v>
      </c>
      <c r="AI57" s="332">
        <f>AI55</f>
        <v>51309478</v>
      </c>
      <c r="AJ57" s="332">
        <v>39103</v>
      </c>
      <c r="AK57" s="332">
        <v>10245</v>
      </c>
      <c r="AL57" s="332">
        <f>AL55</f>
        <v>10299</v>
      </c>
      <c r="AM57" s="332">
        <v>759044</v>
      </c>
      <c r="AN57" s="332">
        <v>726677</v>
      </c>
      <c r="AO57" s="332">
        <v>759881</v>
      </c>
      <c r="AP57" s="332">
        <v>15445208</v>
      </c>
      <c r="AQ57" s="334">
        <v>14177862</v>
      </c>
      <c r="AR57" s="332">
        <f>AR55</f>
        <v>15839629</v>
      </c>
      <c r="AS57" s="335">
        <v>174952639</v>
      </c>
      <c r="AT57" s="336">
        <v>164169229</v>
      </c>
      <c r="AU57" s="332">
        <v>155584805</v>
      </c>
    </row>
    <row r="58" spans="8:47" x14ac:dyDescent="0.2">
      <c r="N58" s="20" t="s">
        <v>127</v>
      </c>
      <c r="O58" s="54"/>
      <c r="P58" s="57">
        <v>-1391757</v>
      </c>
      <c r="Q58" s="58">
        <v>6374627</v>
      </c>
      <c r="R58" s="57">
        <v>3726164</v>
      </c>
    </row>
    <row r="59" spans="8:47" x14ac:dyDescent="0.2">
      <c r="N59" s="19" t="s">
        <v>128</v>
      </c>
      <c r="O59" s="54"/>
      <c r="P59" s="56">
        <v>-234773</v>
      </c>
      <c r="Q59" s="55">
        <v>-139648</v>
      </c>
      <c r="R59" s="56">
        <v>-531136</v>
      </c>
    </row>
    <row r="60" spans="8:47" x14ac:dyDescent="0.2">
      <c r="N60" s="20" t="s">
        <v>129</v>
      </c>
      <c r="O60" s="54"/>
      <c r="P60" s="57">
        <v>-1626530</v>
      </c>
      <c r="Q60" s="58">
        <v>6234979</v>
      </c>
      <c r="R60" s="57">
        <v>3195028</v>
      </c>
    </row>
    <row r="61" spans="8:47" x14ac:dyDescent="0.2">
      <c r="N61" s="20" t="s">
        <v>130</v>
      </c>
      <c r="O61" s="54"/>
      <c r="P61" s="59"/>
      <c r="Q61" s="52"/>
      <c r="R61" s="56"/>
    </row>
    <row r="62" spans="8:47" x14ac:dyDescent="0.2">
      <c r="N62" s="19" t="s">
        <v>131</v>
      </c>
      <c r="O62" s="60"/>
      <c r="P62" s="56">
        <v>-7948094</v>
      </c>
      <c r="Q62" s="55">
        <v>-11590282</v>
      </c>
      <c r="R62" s="56">
        <v>-12654044</v>
      </c>
    </row>
    <row r="63" spans="8:47" x14ac:dyDescent="0.2">
      <c r="N63" s="19" t="s">
        <v>132</v>
      </c>
      <c r="O63" s="60"/>
      <c r="P63" s="56">
        <v>8629963</v>
      </c>
      <c r="Q63" s="55">
        <v>9127540</v>
      </c>
      <c r="R63" s="56">
        <v>5434122</v>
      </c>
    </row>
    <row r="64" spans="8:47" x14ac:dyDescent="0.2">
      <c r="N64" s="19" t="s">
        <v>133</v>
      </c>
      <c r="O64" s="60"/>
      <c r="P64" s="56">
        <v>0</v>
      </c>
      <c r="Q64" s="55">
        <v>0</v>
      </c>
      <c r="R64" s="56">
        <v>0</v>
      </c>
    </row>
    <row r="65" spans="14:18" x14ac:dyDescent="0.2">
      <c r="N65" s="19" t="s">
        <v>134</v>
      </c>
      <c r="O65" s="60"/>
      <c r="P65" s="56">
        <v>0</v>
      </c>
      <c r="Q65" s="55">
        <v>0</v>
      </c>
      <c r="R65" s="56">
        <v>0</v>
      </c>
    </row>
    <row r="66" spans="14:18" x14ac:dyDescent="0.2">
      <c r="N66" s="19" t="s">
        <v>135</v>
      </c>
      <c r="O66" s="60"/>
      <c r="P66" s="56">
        <v>-19680</v>
      </c>
      <c r="Q66" s="55">
        <v>-15112</v>
      </c>
      <c r="R66" s="56">
        <v>-38502</v>
      </c>
    </row>
    <row r="67" spans="14:18" x14ac:dyDescent="0.2">
      <c r="N67" s="19" t="s">
        <v>136</v>
      </c>
      <c r="O67" s="60"/>
      <c r="P67" s="56">
        <v>0</v>
      </c>
      <c r="Q67" s="55">
        <v>0</v>
      </c>
      <c r="R67" s="56">
        <v>0</v>
      </c>
    </row>
    <row r="68" spans="14:18" x14ac:dyDescent="0.2">
      <c r="N68" s="19" t="s">
        <v>137</v>
      </c>
      <c r="O68" s="60"/>
      <c r="P68" s="56">
        <v>-152457</v>
      </c>
      <c r="Q68" s="55">
        <v>-200969</v>
      </c>
      <c r="R68" s="56">
        <v>-238818</v>
      </c>
    </row>
    <row r="69" spans="14:18" x14ac:dyDescent="0.2">
      <c r="N69" s="19" t="s">
        <v>138</v>
      </c>
      <c r="O69" s="60"/>
      <c r="P69" s="56">
        <v>7592</v>
      </c>
      <c r="Q69" s="55">
        <v>1663</v>
      </c>
      <c r="R69" s="56">
        <v>6917</v>
      </c>
    </row>
    <row r="70" spans="14:18" x14ac:dyDescent="0.2">
      <c r="N70" s="19" t="s">
        <v>139</v>
      </c>
      <c r="O70" s="60"/>
      <c r="P70" s="56">
        <v>0</v>
      </c>
      <c r="Q70" s="55">
        <v>0</v>
      </c>
      <c r="R70" s="56">
        <v>0</v>
      </c>
    </row>
    <row r="71" spans="14:18" x14ac:dyDescent="0.2">
      <c r="N71" s="19" t="s">
        <v>140</v>
      </c>
      <c r="O71" s="60"/>
      <c r="P71" s="56">
        <v>0</v>
      </c>
      <c r="Q71" s="55">
        <v>0</v>
      </c>
      <c r="R71" s="56">
        <v>13545</v>
      </c>
    </row>
    <row r="72" spans="14:18" x14ac:dyDescent="0.2">
      <c r="N72" s="19" t="s">
        <v>141</v>
      </c>
      <c r="O72" s="60"/>
      <c r="P72" s="56">
        <v>0</v>
      </c>
      <c r="Q72" s="55">
        <v>0</v>
      </c>
      <c r="R72" s="56">
        <v>0</v>
      </c>
    </row>
    <row r="73" spans="14:18" x14ac:dyDescent="0.2">
      <c r="N73" s="19" t="s">
        <v>142</v>
      </c>
      <c r="O73" s="60"/>
      <c r="P73" s="56">
        <v>41800</v>
      </c>
      <c r="Q73" s="55">
        <v>77210</v>
      </c>
      <c r="R73" s="56">
        <v>92814</v>
      </c>
    </row>
    <row r="74" spans="14:18" x14ac:dyDescent="0.2">
      <c r="N74" s="20" t="s">
        <v>143</v>
      </c>
      <c r="O74" s="54"/>
      <c r="P74" s="57">
        <f>SUM(P62:P73)</f>
        <v>559124</v>
      </c>
      <c r="Q74" s="58">
        <f>SUM(Q62:Q73)</f>
        <v>-2599950</v>
      </c>
      <c r="R74" s="57">
        <v>-7383966</v>
      </c>
    </row>
    <row r="75" spans="14:18" x14ac:dyDescent="0.2">
      <c r="N75" s="20" t="s">
        <v>144</v>
      </c>
      <c r="O75" s="60"/>
      <c r="P75" s="56"/>
      <c r="Q75" s="55"/>
      <c r="R75" s="56"/>
    </row>
    <row r="76" spans="14:18" x14ac:dyDescent="0.2">
      <c r="N76" s="19" t="s">
        <v>145</v>
      </c>
      <c r="O76" s="60"/>
      <c r="P76" s="56">
        <v>0</v>
      </c>
      <c r="Q76" s="55">
        <v>0</v>
      </c>
      <c r="R76" s="56">
        <v>0</v>
      </c>
    </row>
    <row r="77" spans="14:18" x14ac:dyDescent="0.2">
      <c r="N77" s="19" t="s">
        <v>146</v>
      </c>
      <c r="O77" s="60"/>
      <c r="P77" s="56">
        <v>0</v>
      </c>
      <c r="Q77" s="55">
        <v>0</v>
      </c>
      <c r="R77" s="56">
        <v>0</v>
      </c>
    </row>
    <row r="78" spans="14:18" x14ac:dyDescent="0.2">
      <c r="N78" s="19" t="s">
        <v>147</v>
      </c>
      <c r="O78" s="60"/>
      <c r="P78" s="56">
        <v>-527089</v>
      </c>
      <c r="Q78" s="55">
        <v>-660703</v>
      </c>
      <c r="R78" s="56">
        <v>-603989</v>
      </c>
    </row>
    <row r="79" spans="14:18" x14ac:dyDescent="0.2">
      <c r="N79" s="19" t="s">
        <v>148</v>
      </c>
      <c r="O79" s="60"/>
      <c r="P79" s="56">
        <v>511712</v>
      </c>
      <c r="Q79" s="55">
        <v>839005</v>
      </c>
      <c r="R79" s="56">
        <v>1181770</v>
      </c>
    </row>
    <row r="80" spans="14:18" x14ac:dyDescent="0.2">
      <c r="N80" s="19" t="s">
        <v>149</v>
      </c>
      <c r="O80" s="60"/>
      <c r="P80" s="56">
        <v>0</v>
      </c>
      <c r="Q80" s="55">
        <v>0</v>
      </c>
      <c r="R80" s="56">
        <v>0</v>
      </c>
    </row>
    <row r="81" spans="14:18" x14ac:dyDescent="0.2">
      <c r="N81" s="19" t="s">
        <v>150</v>
      </c>
      <c r="O81" s="60"/>
      <c r="P81" s="56">
        <v>0</v>
      </c>
      <c r="Q81" s="55">
        <v>0</v>
      </c>
      <c r="R81" s="56">
        <v>0</v>
      </c>
    </row>
    <row r="82" spans="14:18" x14ac:dyDescent="0.2">
      <c r="N82" s="19" t="s">
        <v>151</v>
      </c>
      <c r="O82" s="60"/>
      <c r="P82" s="56">
        <v>0</v>
      </c>
      <c r="Q82" s="55">
        <v>0</v>
      </c>
      <c r="R82" s="56"/>
    </row>
    <row r="83" spans="14:18" x14ac:dyDescent="0.2">
      <c r="N83" s="19" t="s">
        <v>152</v>
      </c>
      <c r="O83" s="60"/>
      <c r="P83" s="56">
        <v>0</v>
      </c>
      <c r="Q83" s="55"/>
      <c r="R83" s="56">
        <v>0</v>
      </c>
    </row>
    <row r="84" spans="14:18" x14ac:dyDescent="0.2">
      <c r="N84" s="19" t="s">
        <v>153</v>
      </c>
      <c r="O84" s="60"/>
      <c r="P84" s="56">
        <v>0</v>
      </c>
      <c r="Q84" s="55"/>
      <c r="R84" s="56"/>
    </row>
    <row r="85" spans="14:18" x14ac:dyDescent="0.2">
      <c r="N85" s="19" t="s">
        <v>154</v>
      </c>
      <c r="O85" s="60"/>
      <c r="P85" s="56">
        <v>-1417692</v>
      </c>
      <c r="Q85" s="55">
        <v>-1172644</v>
      </c>
      <c r="R85" s="56">
        <v>-2076818</v>
      </c>
    </row>
    <row r="86" spans="14:18" x14ac:dyDescent="0.2">
      <c r="N86" s="19" t="s">
        <v>155</v>
      </c>
      <c r="O86" s="60"/>
      <c r="P86" s="56">
        <v>0</v>
      </c>
      <c r="Q86" s="55">
        <v>0</v>
      </c>
      <c r="R86" s="56">
        <v>0</v>
      </c>
    </row>
    <row r="87" spans="14:18" x14ac:dyDescent="0.2">
      <c r="N87" s="19" t="s">
        <v>175</v>
      </c>
      <c r="O87" s="60"/>
      <c r="P87" s="56">
        <v>0</v>
      </c>
      <c r="Q87" s="55">
        <v>0</v>
      </c>
      <c r="R87" s="56">
        <v>0</v>
      </c>
    </row>
    <row r="88" spans="14:18" x14ac:dyDescent="0.2">
      <c r="N88" s="20" t="s">
        <v>156</v>
      </c>
      <c r="O88" s="60"/>
      <c r="P88" s="57">
        <f>SUM(P76:P87)</f>
        <v>-1433069</v>
      </c>
      <c r="Q88" s="58">
        <f>SUM(Q76:Q87)</f>
        <v>-994342</v>
      </c>
      <c r="R88" s="57">
        <v>-1499037</v>
      </c>
    </row>
    <row r="89" spans="14:18" x14ac:dyDescent="0.2">
      <c r="N89" s="19" t="s">
        <v>157</v>
      </c>
      <c r="O89" s="54">
        <v>18</v>
      </c>
      <c r="P89" s="56">
        <v>-123</v>
      </c>
      <c r="Q89" s="55">
        <v>52</v>
      </c>
      <c r="R89" s="56">
        <v>14</v>
      </c>
    </row>
    <row r="90" spans="14:18" x14ac:dyDescent="0.2">
      <c r="N90" s="19" t="s">
        <v>158</v>
      </c>
      <c r="O90" s="60"/>
      <c r="P90" s="56">
        <v>0</v>
      </c>
      <c r="Q90" s="55">
        <v>0</v>
      </c>
      <c r="R90" s="56">
        <v>0</v>
      </c>
    </row>
    <row r="91" spans="14:18" x14ac:dyDescent="0.2">
      <c r="N91" s="20" t="s">
        <v>159</v>
      </c>
      <c r="O91" s="54"/>
      <c r="P91" s="57">
        <v>-2500598</v>
      </c>
      <c r="Q91" s="58">
        <v>2640739</v>
      </c>
      <c r="R91" s="57">
        <v>-5687961</v>
      </c>
    </row>
    <row r="92" spans="14:18" x14ac:dyDescent="0.2">
      <c r="N92" s="19" t="s">
        <v>160</v>
      </c>
      <c r="O92" s="60"/>
      <c r="P92" s="62">
        <v>50656476</v>
      </c>
      <c r="Q92" s="61">
        <v>48155878</v>
      </c>
      <c r="R92" s="56">
        <v>50796617</v>
      </c>
    </row>
    <row r="93" spans="14:18" x14ac:dyDescent="0.2">
      <c r="N93" s="20" t="s">
        <v>161</v>
      </c>
      <c r="O93" s="63">
        <v>18</v>
      </c>
      <c r="P93" s="57">
        <v>48155878</v>
      </c>
      <c r="Q93" s="58">
        <v>50796617</v>
      </c>
      <c r="R93" s="57">
        <v>45108656</v>
      </c>
    </row>
  </sheetData>
  <mergeCells count="5">
    <mergeCell ref="C4:C5"/>
    <mergeCell ref="I4:I5"/>
    <mergeCell ref="O4:O5"/>
    <mergeCell ref="T4:T5"/>
    <mergeCell ref="T40:T41"/>
  </mergeCells>
  <conditionalFormatting sqref="U35:AU36">
    <cfRule type="uniqueValues" dxfId="1" priority="1"/>
  </conditionalFormatting>
  <conditionalFormatting sqref="AP7:AU7 U7:AO31 AP8:AT31 AU8:AU35 U32:AT35">
    <cfRule type="expression" dxfId="0" priority="2">
      <formula>NOT(ISNUMBER(U7))</formula>
    </cfRule>
  </conditionalFormatting>
  <pageMargins left="0.7" right="0.7" top="0.75" bottom="0.75" header="0.3" footer="0.3"/>
  <ignoredErrors>
    <ignoredError sqref="A87:M87 A61:D62 A16:A17 F6:I40 C16:C17 A18:C60 A1:C3 D1:XFD1 D41:I52 L34:M34 R5:R93 L6:O33 L35:O56 J57:O60 F61:O62 A63:O86 O87 A88:O1048576 P94:XFD1048576 O34 S37:XFD37 F5:H5 L5:N5 D4:H4 J4:S4 A5:C15 A4:B4 D54:I60 D53:G53 I53 D2:S3 AV2:XFD3 S5:S36 AV5:XFD36 AV4:XFD4 S58:XFD93 S38:S57 AV38:XFD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78E0-FE71-488F-A89A-08DD51F7FCF1}">
  <dimension ref="B2:F33"/>
  <sheetViews>
    <sheetView workbookViewId="0">
      <selection activeCell="C29" sqref="C29"/>
    </sheetView>
  </sheetViews>
  <sheetFormatPr defaultColWidth="9.140625" defaultRowHeight="12" x14ac:dyDescent="0.2"/>
  <cols>
    <col min="1" max="1" width="9.140625" style="1"/>
    <col min="2" max="2" width="35.7109375" style="1" bestFit="1" customWidth="1"/>
    <col min="3" max="5" width="13.85546875" style="1" bestFit="1" customWidth="1"/>
    <col min="6" max="16384" width="9.140625" style="1"/>
  </cols>
  <sheetData>
    <row r="2" spans="2:6" x14ac:dyDescent="0.2">
      <c r="B2" s="2" t="s">
        <v>192</v>
      </c>
      <c r="C2" s="3"/>
      <c r="D2" s="3"/>
      <c r="E2" s="3"/>
      <c r="F2" s="89"/>
    </row>
    <row r="4" spans="2:6" x14ac:dyDescent="0.2">
      <c r="B4" s="70" t="s">
        <v>174</v>
      </c>
      <c r="C4" s="71">
        <v>2022</v>
      </c>
      <c r="D4" s="71">
        <v>2023</v>
      </c>
      <c r="E4" s="71">
        <v>2024</v>
      </c>
    </row>
    <row r="5" spans="2:6" x14ac:dyDescent="0.2">
      <c r="B5" s="72" t="s">
        <v>2</v>
      </c>
      <c r="C5" s="67">
        <f>DATA!D6</f>
        <v>3416767</v>
      </c>
      <c r="D5" s="67">
        <f>DATA!E6</f>
        <v>5772137</v>
      </c>
      <c r="E5" s="67">
        <f>DATA!F6</f>
        <v>6759161</v>
      </c>
    </row>
    <row r="6" spans="2:6" x14ac:dyDescent="0.2">
      <c r="B6" s="73" t="s">
        <v>3</v>
      </c>
      <c r="C6" s="68">
        <f>DATA!D7</f>
        <v>-319542</v>
      </c>
      <c r="D6" s="68">
        <f>DATA!E7</f>
        <v>-559928</v>
      </c>
      <c r="E6" s="68">
        <f>DATA!F7</f>
        <v>-791837</v>
      </c>
    </row>
    <row r="7" spans="2:6" x14ac:dyDescent="0.2">
      <c r="B7" s="73" t="s">
        <v>162</v>
      </c>
      <c r="C7" s="68">
        <f>SUM(C5:C6)</f>
        <v>3097225</v>
      </c>
      <c r="D7" s="68">
        <f t="shared" ref="D7:E7" si="0">SUM(D5:D6)</f>
        <v>5212209</v>
      </c>
      <c r="E7" s="68">
        <f t="shared" si="0"/>
        <v>5967324</v>
      </c>
    </row>
    <row r="8" spans="2:6" x14ac:dyDescent="0.2">
      <c r="B8" s="73" t="s">
        <v>5</v>
      </c>
      <c r="C8" s="68">
        <f>DATA!D10</f>
        <v>1909597</v>
      </c>
      <c r="D8" s="68">
        <f>DATA!E10</f>
        <v>2125973</v>
      </c>
      <c r="E8" s="68">
        <f>DATA!F10</f>
        <v>2424697</v>
      </c>
    </row>
    <row r="9" spans="2:6" x14ac:dyDescent="0.2">
      <c r="B9" s="73" t="s">
        <v>6</v>
      </c>
      <c r="C9" s="68">
        <f>DATA!D11</f>
        <v>-770312</v>
      </c>
      <c r="D9" s="68">
        <f>DATA!E11</f>
        <v>-961150</v>
      </c>
      <c r="E9" s="68">
        <f>DATA!F11</f>
        <v>-1144244</v>
      </c>
    </row>
    <row r="10" spans="2:6" x14ac:dyDescent="0.2">
      <c r="B10" s="73" t="s">
        <v>17</v>
      </c>
      <c r="C10" s="68">
        <f>DATA!D26</f>
        <v>2338572</v>
      </c>
      <c r="D10" s="68">
        <f>DATA!E26</f>
        <v>3938452</v>
      </c>
      <c r="E10" s="68">
        <f>DATA!F26</f>
        <v>5524532</v>
      </c>
    </row>
    <row r="11" spans="2:6" x14ac:dyDescent="0.2">
      <c r="B11" s="73" t="s">
        <v>200</v>
      </c>
      <c r="C11" s="68">
        <f>DATA!D29</f>
        <v>2171708</v>
      </c>
      <c r="D11" s="68">
        <f>DATA!E29</f>
        <v>3602377</v>
      </c>
      <c r="E11" s="68">
        <f>DATA!F29</f>
        <v>4960114</v>
      </c>
    </row>
    <row r="12" spans="2:6" x14ac:dyDescent="0.2">
      <c r="B12" s="74" t="s">
        <v>18</v>
      </c>
      <c r="C12" s="69">
        <f>DATA!D28</f>
        <v>-166864</v>
      </c>
      <c r="D12" s="69">
        <f>DATA!E28</f>
        <v>-336075</v>
      </c>
      <c r="E12" s="69">
        <f>DATA!F28</f>
        <v>-564418</v>
      </c>
    </row>
    <row r="13" spans="2:6" x14ac:dyDescent="0.2">
      <c r="C13" s="65"/>
      <c r="D13" s="65"/>
      <c r="E13" s="65"/>
    </row>
    <row r="14" spans="2:6" x14ac:dyDescent="0.2">
      <c r="B14" s="72" t="s">
        <v>166</v>
      </c>
      <c r="C14" s="67">
        <f>DATA!J26</f>
        <v>151049748</v>
      </c>
      <c r="D14" s="67">
        <f>DATA!K26</f>
        <v>163681337</v>
      </c>
      <c r="E14" s="67">
        <f>DATA!L26</f>
        <v>178719788</v>
      </c>
    </row>
    <row r="15" spans="2:6" x14ac:dyDescent="0.2">
      <c r="B15" s="73" t="s">
        <v>164</v>
      </c>
      <c r="C15" s="68">
        <f>DATA!J13</f>
        <v>59856354</v>
      </c>
      <c r="D15" s="68">
        <f>DATA!K13</f>
        <v>60206811</v>
      </c>
      <c r="E15" s="68">
        <f>DATA!L13</f>
        <v>72975118</v>
      </c>
    </row>
    <row r="16" spans="2:6" x14ac:dyDescent="0.2">
      <c r="B16" s="73" t="s">
        <v>163</v>
      </c>
      <c r="C16" s="68">
        <f>DATA!J33</f>
        <v>133174137</v>
      </c>
      <c r="D16" s="68">
        <f>DATA!K33</f>
        <v>142515749</v>
      </c>
      <c r="E16" s="68">
        <f>DATA!L33</f>
        <v>153366826</v>
      </c>
    </row>
    <row r="17" spans="2:6" x14ac:dyDescent="0.2">
      <c r="B17" s="73" t="s">
        <v>165</v>
      </c>
      <c r="C17" s="68">
        <f>DATA!J53</f>
        <v>15672561</v>
      </c>
      <c r="D17" s="68">
        <f>DATA!K53</f>
        <v>18102359</v>
      </c>
      <c r="E17" s="68">
        <f>DATA!L53</f>
        <v>20985160</v>
      </c>
    </row>
    <row r="18" spans="2:6" x14ac:dyDescent="0.2">
      <c r="B18" s="73" t="s">
        <v>246</v>
      </c>
      <c r="C18" s="68">
        <f>DATA!J7</f>
        <v>57443900</v>
      </c>
      <c r="D18" s="68">
        <f>DATA!K7</f>
        <v>62400249</v>
      </c>
      <c r="E18" s="68">
        <f>DATA!L7</f>
        <v>55480410</v>
      </c>
    </row>
    <row r="19" spans="2:6" x14ac:dyDescent="0.2">
      <c r="B19" s="73" t="s">
        <v>167</v>
      </c>
      <c r="C19" s="68">
        <f>DATA!J50</f>
        <v>2692347</v>
      </c>
      <c r="D19" s="68">
        <f>DATA!K50</f>
        <v>4272463</v>
      </c>
      <c r="E19" s="68">
        <f>DATA!L50</f>
        <v>5771261</v>
      </c>
    </row>
    <row r="20" spans="2:6" x14ac:dyDescent="0.2">
      <c r="B20" s="74" t="s">
        <v>168</v>
      </c>
      <c r="C20" s="69">
        <f>DATA!J42</f>
        <v>135377187</v>
      </c>
      <c r="D20" s="69">
        <f>DATA!K42</f>
        <v>145578978</v>
      </c>
      <c r="E20" s="69">
        <f>DATA!L42</f>
        <v>157734628</v>
      </c>
    </row>
    <row r="21" spans="2:6" x14ac:dyDescent="0.2">
      <c r="C21" s="65"/>
      <c r="D21" s="65"/>
      <c r="E21" s="65"/>
    </row>
    <row r="22" spans="2:6" x14ac:dyDescent="0.2">
      <c r="B22" s="72" t="str">
        <f>B11</f>
        <v>Нето добивка/(загуба) по оданочување</v>
      </c>
      <c r="C22" s="67">
        <f>Inputs!C11</f>
        <v>2171708</v>
      </c>
      <c r="D22" s="67">
        <f>Inputs!D11</f>
        <v>3602377</v>
      </c>
      <c r="E22" s="67">
        <f>Inputs!E11</f>
        <v>4960114</v>
      </c>
    </row>
    <row r="23" spans="2:6" x14ac:dyDescent="0.2">
      <c r="B23" s="73" t="s">
        <v>169</v>
      </c>
      <c r="C23" s="68">
        <f>SUM(DATA!P10:P11)</f>
        <v>217243</v>
      </c>
      <c r="D23" s="68">
        <f>SUM(DATA!Q10:Q11)</f>
        <v>235938</v>
      </c>
      <c r="E23" s="68">
        <f>SUM(DATA!R10:R11)</f>
        <v>247739</v>
      </c>
    </row>
    <row r="24" spans="2:6" x14ac:dyDescent="0.2">
      <c r="B24" s="73" t="s">
        <v>170</v>
      </c>
      <c r="C24" s="68"/>
      <c r="D24" s="68">
        <f>(SUM(DATA!Q40:Q50)-SUM(DATA!P40:P50)+(SUM(DATA!Q52:Q57)-SUM(DATA!P52:P57)))</f>
        <v>6415901</v>
      </c>
      <c r="E24" s="68">
        <f>(SUM(DATA!R40:R50)-SUM(DATA!Q40:Q50)+(SUM(DATA!R52:R57)-SUM(DATA!Q52:Q57)))</f>
        <v>-3573975</v>
      </c>
      <c r="F24" s="236"/>
    </row>
    <row r="25" spans="2:6" x14ac:dyDescent="0.2">
      <c r="B25" s="73" t="s">
        <v>171</v>
      </c>
      <c r="C25" s="68">
        <f>DATA!P85</f>
        <v>-1417692</v>
      </c>
      <c r="D25" s="68">
        <f>DATA!Q85</f>
        <v>-1172644</v>
      </c>
      <c r="E25" s="68">
        <f>DATA!R85</f>
        <v>-2076818</v>
      </c>
    </row>
    <row r="26" spans="2:6" x14ac:dyDescent="0.2">
      <c r="B26" s="73" t="s">
        <v>172</v>
      </c>
      <c r="C26" s="68">
        <f>DATA!P60</f>
        <v>-1626530</v>
      </c>
      <c r="D26" s="68">
        <f>DATA!Q60</f>
        <v>6234979</v>
      </c>
      <c r="E26" s="68">
        <f>DATA!R60</f>
        <v>3195028</v>
      </c>
    </row>
    <row r="27" spans="2:6" x14ac:dyDescent="0.2">
      <c r="B27" s="74" t="s">
        <v>173</v>
      </c>
      <c r="C27" s="69">
        <f>DATA!P91</f>
        <v>-2500598</v>
      </c>
      <c r="D27" s="69">
        <f>DATA!Q91</f>
        <v>2640739</v>
      </c>
      <c r="E27" s="69">
        <f>DATA!R91</f>
        <v>-5687961</v>
      </c>
    </row>
    <row r="29" spans="2:6" x14ac:dyDescent="0.2">
      <c r="B29" s="72" t="s">
        <v>196</v>
      </c>
      <c r="C29" s="219">
        <f>SUM(DATA!J12:J13)</f>
        <v>60440873</v>
      </c>
      <c r="D29" s="219">
        <f>SUM(DATA!K12:K13)</f>
        <v>63188175</v>
      </c>
      <c r="E29" s="219">
        <f>SUM(DATA!L12:L13)</f>
        <v>79026129</v>
      </c>
    </row>
    <row r="30" spans="2:6" x14ac:dyDescent="0.2">
      <c r="B30" s="74" t="s">
        <v>243</v>
      </c>
      <c r="C30" s="69">
        <f>SUM(DATA!J32:J33)</f>
        <v>133434495</v>
      </c>
      <c r="D30" s="69">
        <f>SUM(DATA!K32:K33)</f>
        <v>143037207</v>
      </c>
      <c r="E30" s="69">
        <f>SUM(DATA!L32:L33)</f>
        <v>154600239</v>
      </c>
    </row>
    <row r="32" spans="2:6" x14ac:dyDescent="0.2">
      <c r="B32" s="72" t="s">
        <v>242</v>
      </c>
      <c r="C32" s="208">
        <f>SUM(DATA!D6,DATA!D10,DATA!D14:D18)</f>
        <v>6657990</v>
      </c>
      <c r="D32" s="208">
        <f>SUM(DATA!E6,DATA!E10,DATA!E14:E18)</f>
        <v>8637833</v>
      </c>
      <c r="E32" s="67">
        <f>SUM(DATA!F6,DATA!F10,DATA!F14:F18)</f>
        <v>10903669</v>
      </c>
    </row>
    <row r="33" spans="2:5" x14ac:dyDescent="0.2">
      <c r="B33" s="74" t="s">
        <v>198</v>
      </c>
      <c r="C33" s="209">
        <f>SUM(DATA!D20:D25)</f>
        <v>-3229564</v>
      </c>
      <c r="D33" s="209">
        <f>SUM(DATA!E20:E25)</f>
        <v>-3178303</v>
      </c>
      <c r="E33" s="69">
        <f>SUM(DATA!F20:F25)</f>
        <v>-3443056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90C8-C35C-47EA-B680-8B34610163AD}">
  <dimension ref="D1"/>
  <sheetViews>
    <sheetView topLeftCell="A11" workbookViewId="0">
      <selection activeCell="B44" sqref="B44"/>
    </sheetView>
  </sheetViews>
  <sheetFormatPr defaultColWidth="9.140625" defaultRowHeight="12" x14ac:dyDescent="0.2"/>
  <cols>
    <col min="1" max="1" width="9.140625" style="1"/>
    <col min="2" max="2" width="39.140625" style="1" bestFit="1" customWidth="1"/>
    <col min="3" max="3" width="26.85546875" style="1" bestFit="1" customWidth="1"/>
    <col min="4" max="4" width="12.42578125" style="75" bestFit="1" customWidth="1"/>
    <col min="5" max="5" width="9.140625" style="1"/>
    <col min="6" max="6" width="15.7109375" style="1" bestFit="1" customWidth="1"/>
    <col min="7" max="11" width="7.85546875" style="1" bestFit="1" customWidth="1"/>
    <col min="12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0DD0-8FAA-4D4F-A51A-B50FED96CD1D}">
  <dimension ref="B2:F20"/>
  <sheetViews>
    <sheetView workbookViewId="0">
      <selection activeCell="C46" sqref="C45:C46"/>
    </sheetView>
  </sheetViews>
  <sheetFormatPr defaultColWidth="9.140625" defaultRowHeight="12" x14ac:dyDescent="0.2"/>
  <cols>
    <col min="1" max="1" width="9.140625" style="1"/>
    <col min="2" max="2" width="47.28515625" style="1" bestFit="1" customWidth="1"/>
    <col min="3" max="3" width="14" style="1" bestFit="1" customWidth="1"/>
    <col min="4" max="4" width="9.140625" style="1"/>
    <col min="5" max="5" width="22.28515625" style="1" bestFit="1" customWidth="1"/>
    <col min="6" max="6" width="14" style="1" bestFit="1" customWidth="1"/>
    <col min="7" max="16384" width="9.140625" style="1"/>
  </cols>
  <sheetData>
    <row r="2" spans="2:6" x14ac:dyDescent="0.2">
      <c r="B2" s="77" t="s">
        <v>186</v>
      </c>
      <c r="C2" s="77"/>
      <c r="E2" s="77" t="s">
        <v>187</v>
      </c>
      <c r="F2" s="77"/>
    </row>
    <row r="3" spans="2:6" x14ac:dyDescent="0.2">
      <c r="B3" s="1" t="s">
        <v>165</v>
      </c>
      <c r="C3" s="78">
        <f>F5</f>
        <v>62492336209.379997</v>
      </c>
      <c r="E3" s="66" t="s">
        <v>210</v>
      </c>
      <c r="F3" s="79">
        <v>2279067</v>
      </c>
    </row>
    <row r="4" spans="2:6" x14ac:dyDescent="0.2">
      <c r="B4" s="1" t="s">
        <v>211</v>
      </c>
      <c r="C4" s="78">
        <f>SUM(DATA!L32:L36)</f>
        <v>156057064</v>
      </c>
      <c r="E4" s="1" t="s">
        <v>219</v>
      </c>
      <c r="F4" s="80">
        <v>27420.14</v>
      </c>
    </row>
    <row r="5" spans="2:6" x14ac:dyDescent="0.2">
      <c r="E5" s="66" t="s">
        <v>165</v>
      </c>
      <c r="F5" s="81">
        <f>F3*F4</f>
        <v>62492336209.379997</v>
      </c>
    </row>
    <row r="6" spans="2:6" x14ac:dyDescent="0.2">
      <c r="B6" s="1" t="s">
        <v>212</v>
      </c>
      <c r="C6" s="76">
        <f>-Inputs!E6/SUM(DATA!L32:L36)</f>
        <v>5.0740221538449551E-3</v>
      </c>
    </row>
    <row r="7" spans="2:6" x14ac:dyDescent="0.2">
      <c r="B7" s="1" t="s">
        <v>213</v>
      </c>
      <c r="C7" s="82">
        <f>'Биланс на состојба (Проекција)'!C16</f>
        <v>7.1352945301662724E-2</v>
      </c>
    </row>
    <row r="8" spans="2:6" x14ac:dyDescent="0.2">
      <c r="B8" s="1" t="s">
        <v>188</v>
      </c>
      <c r="C8" s="83">
        <f>C4/SUM(C3:C4)</f>
        <v>2.4909986648661651E-3</v>
      </c>
    </row>
    <row r="9" spans="2:6" x14ac:dyDescent="0.2">
      <c r="B9" s="84" t="s">
        <v>214</v>
      </c>
      <c r="C9" s="85">
        <f>C6*(1-C7)</f>
        <v>4.7119757286422309E-3</v>
      </c>
    </row>
    <row r="11" spans="2:6" x14ac:dyDescent="0.2">
      <c r="B11" s="1" t="s">
        <v>215</v>
      </c>
      <c r="C11" s="76">
        <v>2.5499999999999998E-2</v>
      </c>
    </row>
    <row r="12" spans="2:6" x14ac:dyDescent="0.2">
      <c r="B12" s="1" t="s">
        <v>216</v>
      </c>
      <c r="C12" s="76">
        <v>0.09</v>
      </c>
    </row>
    <row r="13" spans="2:6" x14ac:dyDescent="0.2">
      <c r="B13" s="1" t="s">
        <v>217</v>
      </c>
      <c r="C13" s="76">
        <f>C12-C11</f>
        <v>6.4500000000000002E-2</v>
      </c>
    </row>
    <row r="14" spans="2:6" x14ac:dyDescent="0.2">
      <c r="B14" s="1" t="s">
        <v>218</v>
      </c>
      <c r="C14" s="1">
        <v>1.1000000000000001</v>
      </c>
    </row>
    <row r="15" spans="2:6" x14ac:dyDescent="0.2">
      <c r="B15" s="1" t="s">
        <v>189</v>
      </c>
      <c r="C15" s="86">
        <f>C3/SUM(C3:C4)</f>
        <v>0.99750900133513387</v>
      </c>
    </row>
    <row r="16" spans="2:6" x14ac:dyDescent="0.2">
      <c r="B16" s="84" t="s">
        <v>177</v>
      </c>
      <c r="C16" s="85">
        <f>C11+C14*(C13)</f>
        <v>9.6450000000000008E-2</v>
      </c>
    </row>
    <row r="18" spans="2:3" x14ac:dyDescent="0.2">
      <c r="B18" s="87" t="s">
        <v>190</v>
      </c>
      <c r="C18" s="88">
        <f>C9*C8+C16*C15</f>
        <v>9.6221480704022602E-2</v>
      </c>
    </row>
    <row r="20" spans="2:3" x14ac:dyDescent="0.2">
      <c r="B20" s="1" t="s">
        <v>191</v>
      </c>
    </row>
  </sheetData>
  <pageMargins left="0.7" right="0.7" top="0.75" bottom="0.75" header="0.3" footer="0.3"/>
  <ignoredErrors>
    <ignoredError sqref="C6 C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A266-C881-4C84-B92D-32E5E6FC239D}">
  <dimension ref="B5:K85"/>
  <sheetViews>
    <sheetView workbookViewId="0">
      <selection activeCell="B2" sqref="B2:J66"/>
    </sheetView>
  </sheetViews>
  <sheetFormatPr defaultColWidth="9.140625" defaultRowHeight="12" x14ac:dyDescent="0.2"/>
  <cols>
    <col min="1" max="1" width="9.140625" style="1"/>
    <col min="2" max="2" width="63.7109375" style="1" customWidth="1"/>
    <col min="3" max="5" width="12.7109375" style="1" bestFit="1" customWidth="1"/>
    <col min="6" max="9" width="14.85546875" style="1" bestFit="1" customWidth="1"/>
    <col min="10" max="10" width="12.7109375" style="1" bestFit="1" customWidth="1"/>
    <col min="11" max="16384" width="9.140625" style="1"/>
  </cols>
  <sheetData>
    <row r="5" spans="11:11" x14ac:dyDescent="0.2">
      <c r="K5" s="90"/>
    </row>
    <row r="68" spans="2:9" x14ac:dyDescent="0.2">
      <c r="B68" s="91"/>
      <c r="C68" s="93"/>
      <c r="D68" s="93"/>
      <c r="E68" s="93"/>
      <c r="F68" s="93"/>
      <c r="G68" s="93"/>
      <c r="H68" s="93"/>
      <c r="I68" s="93"/>
    </row>
    <row r="69" spans="2:9" x14ac:dyDescent="0.2">
      <c r="B69" s="91"/>
    </row>
    <row r="70" spans="2:9" x14ac:dyDescent="0.2">
      <c r="B70" s="91"/>
    </row>
    <row r="71" spans="2:9" x14ac:dyDescent="0.2">
      <c r="B71" s="91"/>
    </row>
    <row r="72" spans="2:9" x14ac:dyDescent="0.2">
      <c r="B72" s="91"/>
    </row>
    <row r="73" spans="2:9" x14ac:dyDescent="0.2">
      <c r="B73" s="91"/>
    </row>
    <row r="74" spans="2:9" x14ac:dyDescent="0.2">
      <c r="B74" s="91"/>
    </row>
    <row r="75" spans="2:9" x14ac:dyDescent="0.2">
      <c r="B75" s="91"/>
    </row>
    <row r="76" spans="2:9" x14ac:dyDescent="0.2">
      <c r="B76" s="91"/>
    </row>
    <row r="77" spans="2:9" x14ac:dyDescent="0.2">
      <c r="B77" s="91"/>
    </row>
    <row r="78" spans="2:9" x14ac:dyDescent="0.2">
      <c r="B78" s="91"/>
    </row>
    <row r="79" spans="2:9" x14ac:dyDescent="0.2">
      <c r="B79" s="91"/>
    </row>
    <row r="80" spans="2:9" x14ac:dyDescent="0.2">
      <c r="B80" s="91"/>
    </row>
    <row r="81" spans="2:2" x14ac:dyDescent="0.2">
      <c r="B81" s="91"/>
    </row>
    <row r="82" spans="2:2" x14ac:dyDescent="0.2">
      <c r="B82" s="91"/>
    </row>
    <row r="83" spans="2:2" x14ac:dyDescent="0.2">
      <c r="B83" s="91"/>
    </row>
    <row r="84" spans="2:2" x14ac:dyDescent="0.2">
      <c r="B84" s="91"/>
    </row>
    <row r="85" spans="2:2" x14ac:dyDescent="0.2">
      <c r="B85" s="9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841D-7677-4C92-BC4A-5D7434AEF35D}">
  <dimension ref="B2:K428"/>
  <sheetViews>
    <sheetView tabSelected="1" topLeftCell="A326" zoomScaleNormal="100" workbookViewId="0">
      <selection activeCell="F311" sqref="F311"/>
    </sheetView>
  </sheetViews>
  <sheetFormatPr defaultColWidth="9.140625" defaultRowHeight="12" outlineLevelRow="1" x14ac:dyDescent="0.2"/>
  <cols>
    <col min="1" max="1" width="9.140625" style="1"/>
    <col min="2" max="2" width="61.7109375" style="1" bestFit="1" customWidth="1"/>
    <col min="3" max="4" width="15" style="1" bestFit="1" customWidth="1"/>
    <col min="5" max="5" width="13.85546875" style="1" bestFit="1" customWidth="1"/>
    <col min="6" max="9" width="14.85546875" style="1" bestFit="1" customWidth="1"/>
    <col min="10" max="10" width="15.7109375" style="1" customWidth="1"/>
    <col min="11" max="11" width="11.7109375" style="1" bestFit="1" customWidth="1"/>
    <col min="12" max="16384" width="9.140625" style="1"/>
  </cols>
  <sheetData>
    <row r="2" spans="2:11" x14ac:dyDescent="0.2">
      <c r="B2" s="2" t="s">
        <v>193</v>
      </c>
      <c r="C2" s="3"/>
      <c r="D2" s="3"/>
      <c r="E2" s="3"/>
      <c r="F2" s="3"/>
      <c r="G2" s="3"/>
      <c r="H2" s="3"/>
      <c r="I2" s="3"/>
      <c r="J2" s="218"/>
    </row>
    <row r="3" spans="2:11" outlineLevel="1" x14ac:dyDescent="0.2"/>
    <row r="4" spans="2:11" outlineLevel="1" x14ac:dyDescent="0.2">
      <c r="B4" s="99" t="s">
        <v>174</v>
      </c>
      <c r="C4" s="99"/>
      <c r="D4" s="99"/>
      <c r="G4" s="206"/>
      <c r="H4" s="207"/>
      <c r="I4" s="207"/>
      <c r="J4" s="207"/>
      <c r="K4" s="207"/>
    </row>
    <row r="5" spans="2:11" outlineLevel="1" x14ac:dyDescent="0.2">
      <c r="B5" s="84" t="s">
        <v>204</v>
      </c>
      <c r="C5" s="213">
        <f>DATA!J5</f>
        <v>44926</v>
      </c>
      <c r="D5" s="128">
        <f t="shared" ref="D5:I5" si="0">EDATE(C5,12)</f>
        <v>45291</v>
      </c>
      <c r="E5" s="128">
        <f t="shared" si="0"/>
        <v>45657</v>
      </c>
      <c r="F5" s="247">
        <f t="shared" si="0"/>
        <v>46022</v>
      </c>
      <c r="G5" s="248">
        <f t="shared" si="0"/>
        <v>46387</v>
      </c>
      <c r="H5" s="248">
        <f t="shared" si="0"/>
        <v>46752</v>
      </c>
      <c r="I5" s="248">
        <f t="shared" si="0"/>
        <v>47118</v>
      </c>
    </row>
    <row r="6" spans="2:11" outlineLevel="1" x14ac:dyDescent="0.2">
      <c r="B6" s="210" t="s">
        <v>253</v>
      </c>
      <c r="C6" s="220"/>
      <c r="D6" s="211">
        <f>(Inputs!D15/Inputs!C15)-1</f>
        <v>5.8549673773982125E-3</v>
      </c>
      <c r="E6" s="211">
        <f>(Inputs!E15/Inputs!D15)-1</f>
        <v>0.21207412895527722</v>
      </c>
      <c r="F6" s="443">
        <v>0.15</v>
      </c>
      <c r="G6" s="444">
        <v>0.12</v>
      </c>
      <c r="H6" s="444">
        <v>0.1</v>
      </c>
      <c r="I6" s="444">
        <v>0.09</v>
      </c>
    </row>
    <row r="7" spans="2:11" outlineLevel="1" x14ac:dyDescent="0.2">
      <c r="B7" s="212" t="s">
        <v>178</v>
      </c>
      <c r="C7" s="221"/>
      <c r="D7" s="116">
        <f>(Inputs!D16/Inputs!C16)-1</f>
        <v>7.014584220658393E-2</v>
      </c>
      <c r="E7" s="116">
        <f>(Inputs!E16/Inputs!D16)-1</f>
        <v>7.6139493888496501E-2</v>
      </c>
      <c r="F7" s="262">
        <v>7.4999999999999997E-2</v>
      </c>
      <c r="G7" s="263">
        <v>7.3499999999999996E-2</v>
      </c>
      <c r="H7" s="263">
        <v>7.1499999999999994E-2</v>
      </c>
      <c r="I7" s="263">
        <v>7.0000000000000007E-2</v>
      </c>
    </row>
    <row r="8" spans="2:11" outlineLevel="1" x14ac:dyDescent="0.2">
      <c r="B8" s="210" t="s">
        <v>252</v>
      </c>
      <c r="C8" s="214"/>
      <c r="D8" s="211">
        <f>Inputs!D5/AVERAGE(Inputs!C15:D15)</f>
        <v>9.6151671497248972E-2</v>
      </c>
      <c r="E8" s="211">
        <f>Inputs!E5/AVERAGE(Inputs!D15:E15)</f>
        <v>0.10150267458582914</v>
      </c>
      <c r="F8" s="443">
        <v>0.1</v>
      </c>
      <c r="G8" s="444">
        <v>0.1</v>
      </c>
      <c r="H8" s="444">
        <v>0.1</v>
      </c>
      <c r="I8" s="444">
        <v>0.1</v>
      </c>
    </row>
    <row r="9" spans="2:11" outlineLevel="1" x14ac:dyDescent="0.2">
      <c r="B9" s="212" t="s">
        <v>179</v>
      </c>
      <c r="C9" s="215"/>
      <c r="D9" s="116">
        <f>-Inputs!D6/AVERAGE(Inputs!D16:E16)</f>
        <v>3.7847987499770811E-3</v>
      </c>
      <c r="E9" s="116">
        <f>-Inputs!E6/AVERAGE(Inputs!E16:F16)</f>
        <v>5.163026585684182E-3</v>
      </c>
      <c r="F9" s="262">
        <v>5.4999999999999997E-3</v>
      </c>
      <c r="G9" s="263">
        <v>5.4999999999999997E-3</v>
      </c>
      <c r="H9" s="263">
        <v>5.4999999999999997E-3</v>
      </c>
      <c r="I9" s="263">
        <v>5.4999999999999997E-3</v>
      </c>
    </row>
    <row r="10" spans="2:11" outlineLevel="1" x14ac:dyDescent="0.2">
      <c r="B10" s="212" t="s">
        <v>254</v>
      </c>
      <c r="C10" s="265">
        <f>C35-C36</f>
        <v>3736309</v>
      </c>
      <c r="D10" s="93">
        <f t="shared" ref="D10:I10" si="1">D35-D36</f>
        <v>6332065</v>
      </c>
      <c r="E10" s="203">
        <f t="shared" si="1"/>
        <v>7550998</v>
      </c>
      <c r="F10" s="266">
        <f t="shared" si="1"/>
        <v>9406245.1762625016</v>
      </c>
      <c r="G10" s="267">
        <f t="shared" si="1"/>
        <v>11457886.361139419</v>
      </c>
      <c r="H10" s="267">
        <f t="shared" si="1"/>
        <v>13741531.214773141</v>
      </c>
      <c r="I10" s="267">
        <f t="shared" si="1"/>
        <v>16353550.904631216</v>
      </c>
    </row>
    <row r="11" spans="2:11" outlineLevel="1" x14ac:dyDescent="0.2">
      <c r="B11" s="212" t="s">
        <v>255</v>
      </c>
      <c r="C11" s="220"/>
      <c r="D11" s="217">
        <f t="shared" ref="D11:I11" si="2">D10/((SUM(D126:D128)+SUM(C126:C128))/2)</f>
        <v>7.011013627982883E-2</v>
      </c>
      <c r="E11" s="76">
        <f t="shared" si="2"/>
        <v>7.2079611804365937E-2</v>
      </c>
      <c r="F11" s="237">
        <f t="shared" si="2"/>
        <v>7.4444403919420615E-2</v>
      </c>
      <c r="G11" s="238">
        <f t="shared" si="2"/>
        <v>7.8291554554267312E-2</v>
      </c>
      <c r="H11" s="238">
        <f t="shared" si="2"/>
        <v>8.224415269190663E-2</v>
      </c>
      <c r="I11" s="238">
        <f t="shared" si="2"/>
        <v>8.6362288233601606E-2</v>
      </c>
    </row>
    <row r="12" spans="2:11" outlineLevel="1" x14ac:dyDescent="0.2">
      <c r="B12" s="84" t="s">
        <v>180</v>
      </c>
      <c r="C12" s="216"/>
      <c r="D12" s="116">
        <f>Inputs!D8/Inputs!C8-1</f>
        <v>0.11330977164291722</v>
      </c>
      <c r="E12" s="217">
        <f>Inputs!E8/Inputs!D8-1</f>
        <v>0.14051166218950106</v>
      </c>
      <c r="F12" s="227">
        <v>0.14000000000000001</v>
      </c>
      <c r="G12" s="228">
        <v>0.14000000000000001</v>
      </c>
      <c r="H12" s="228">
        <v>0.14000000000000001</v>
      </c>
      <c r="I12" s="228">
        <v>0.14000000000000001</v>
      </c>
    </row>
    <row r="13" spans="2:11" outlineLevel="1" x14ac:dyDescent="0.2">
      <c r="B13" s="84" t="s">
        <v>183</v>
      </c>
      <c r="C13" s="216">
        <f>-Inputs!C33/Inputs!C32</f>
        <v>0.4850659132861419</v>
      </c>
      <c r="D13" s="217">
        <f>-Inputs!D33/Inputs!D32</f>
        <v>0.36795142948468673</v>
      </c>
      <c r="E13" s="217">
        <f>-Inputs!E33/Inputs!E32</f>
        <v>0.3157704071904604</v>
      </c>
      <c r="F13" s="233">
        <f>-SUM(F53,F60)/SUM(F35,F39,F48)</f>
        <v>0.28063743904313576</v>
      </c>
      <c r="G13" s="234">
        <f t="shared" ref="G13:I13" si="3">-SUM(G53,G60)/SUM(G35,G39,G48)</f>
        <v>0.24542898634038399</v>
      </c>
      <c r="H13" s="234">
        <f t="shared" si="3"/>
        <v>0.21629863973525623</v>
      </c>
      <c r="I13" s="234">
        <f t="shared" si="3"/>
        <v>0.19136765914529702</v>
      </c>
    </row>
    <row r="14" spans="2:11" outlineLevel="1" x14ac:dyDescent="0.2">
      <c r="B14" s="84" t="s">
        <v>247</v>
      </c>
      <c r="C14" s="216"/>
      <c r="D14" s="217">
        <f>ABS(Inputs!D33/Inputs!C33-1)</f>
        <v>1.5872421168925621E-2</v>
      </c>
      <c r="E14" s="217">
        <f>ABS(Inputs!E33/Inputs!D33-1)</f>
        <v>8.3300113299455747E-2</v>
      </c>
      <c r="F14" s="227">
        <v>0.05</v>
      </c>
      <c r="G14" s="228">
        <v>0.05</v>
      </c>
      <c r="H14" s="228">
        <v>0.05</v>
      </c>
      <c r="I14" s="228">
        <v>0.05</v>
      </c>
    </row>
    <row r="15" spans="2:11" outlineLevel="1" x14ac:dyDescent="0.2">
      <c r="B15" s="84" t="s">
        <v>181</v>
      </c>
      <c r="C15" s="216">
        <f>-Inputs!C25/Inputs!C22</f>
        <v>0.65280046857128127</v>
      </c>
      <c r="D15" s="217">
        <f>-Inputs!D25/Inputs!D22</f>
        <v>0.32551951114500233</v>
      </c>
      <c r="E15" s="217">
        <f>-Inputs!E25/Inputs!E22</f>
        <v>0.41870368302018862</v>
      </c>
      <c r="F15" s="227">
        <v>0.42</v>
      </c>
      <c r="G15" s="228">
        <v>0.42</v>
      </c>
      <c r="H15" s="228">
        <v>0.42</v>
      </c>
      <c r="I15" s="228">
        <v>0.42</v>
      </c>
    </row>
    <row r="16" spans="2:11" outlineLevel="1" x14ac:dyDescent="0.2">
      <c r="B16" s="84" t="s">
        <v>194</v>
      </c>
      <c r="C16" s="216">
        <f>-Inputs!C12/Inputs!C10</f>
        <v>7.1352945301662724E-2</v>
      </c>
      <c r="D16" s="217">
        <f>-Inputs!D12/Inputs!D10</f>
        <v>8.5331749631581133E-2</v>
      </c>
      <c r="E16" s="217">
        <f>-Inputs!E12/Inputs!E10</f>
        <v>0.10216575811308541</v>
      </c>
      <c r="F16" s="227">
        <v>0.10249999999999999</v>
      </c>
      <c r="G16" s="228">
        <v>0.10249999999999999</v>
      </c>
      <c r="H16" s="228">
        <f>G16</f>
        <v>0.10249999999999999</v>
      </c>
      <c r="I16" s="228">
        <f>H16</f>
        <v>0.10249999999999999</v>
      </c>
    </row>
    <row r="17" spans="2:9" outlineLevel="1" x14ac:dyDescent="0.2">
      <c r="B17" s="84" t="s">
        <v>184</v>
      </c>
      <c r="C17" s="233">
        <v>7.0000000000000001E-3</v>
      </c>
      <c r="D17" s="234">
        <v>7.0000000000000001E-3</v>
      </c>
      <c r="E17" s="234">
        <v>7.0000000000000001E-3</v>
      </c>
      <c r="F17" s="227">
        <v>7.0000000000000001E-3</v>
      </c>
      <c r="G17" s="228">
        <v>7.0000000000000001E-3</v>
      </c>
      <c r="H17" s="228">
        <v>7.0000000000000001E-3</v>
      </c>
      <c r="I17" s="228">
        <v>7.0000000000000001E-3</v>
      </c>
    </row>
    <row r="18" spans="2:9" outlineLevel="1" x14ac:dyDescent="0.2">
      <c r="B18" s="84" t="s">
        <v>177</v>
      </c>
      <c r="C18" s="231">
        <f>WACC!$C$16</f>
        <v>9.6450000000000008E-2</v>
      </c>
      <c r="D18" s="232">
        <f>WACC!$C$16</f>
        <v>9.6450000000000008E-2</v>
      </c>
      <c r="E18" s="232">
        <f>WACC!$C$16</f>
        <v>9.6450000000000008E-2</v>
      </c>
      <c r="F18" s="231">
        <f>WACC!$C$16</f>
        <v>9.6450000000000008E-2</v>
      </c>
      <c r="G18" s="232">
        <f>WACC!$C$16</f>
        <v>9.6450000000000008E-2</v>
      </c>
      <c r="H18" s="232">
        <f>WACC!$C$16</f>
        <v>9.6450000000000008E-2</v>
      </c>
      <c r="I18" s="232">
        <f>WACC!$C$16</f>
        <v>9.6450000000000008E-2</v>
      </c>
    </row>
    <row r="19" spans="2:9" outlineLevel="1" x14ac:dyDescent="0.2">
      <c r="B19" s="84" t="s">
        <v>307</v>
      </c>
      <c r="C19" s="229">
        <v>0</v>
      </c>
      <c r="D19" s="230">
        <v>0</v>
      </c>
      <c r="E19" s="230">
        <v>3.5000000000000003E-2</v>
      </c>
      <c r="F19" s="229">
        <v>2.5000000000000001E-2</v>
      </c>
      <c r="G19" s="230">
        <v>0.02</v>
      </c>
      <c r="H19" s="230">
        <v>0.02</v>
      </c>
      <c r="I19" s="230">
        <v>0.02</v>
      </c>
    </row>
    <row r="20" spans="2:9" outlineLevel="1" x14ac:dyDescent="0.2"/>
    <row r="21" spans="2:9" outlineLevel="1" x14ac:dyDescent="0.2">
      <c r="B21" s="1" t="s">
        <v>185</v>
      </c>
    </row>
    <row r="22" spans="2:9" outlineLevel="1" x14ac:dyDescent="0.2">
      <c r="B22" s="1" t="s">
        <v>308</v>
      </c>
    </row>
    <row r="23" spans="2:9" outlineLevel="1" x14ac:dyDescent="0.2"/>
    <row r="24" spans="2:9" outlineLevel="1" x14ac:dyDescent="0.2"/>
    <row r="25" spans="2:9" outlineLevel="1" x14ac:dyDescent="0.2"/>
    <row r="26" spans="2:9" outlineLevel="1" x14ac:dyDescent="0.2">
      <c r="B26" s="235"/>
      <c r="C26" s="235"/>
      <c r="D26" s="76"/>
      <c r="E26" s="76"/>
      <c r="F26" s="76"/>
      <c r="G26" s="76"/>
      <c r="H26" s="76"/>
      <c r="I26" s="76"/>
    </row>
    <row r="27" spans="2:9" outlineLevel="1" x14ac:dyDescent="0.2">
      <c r="B27" s="99"/>
      <c r="C27" s="99"/>
      <c r="D27" s="75"/>
    </row>
    <row r="28" spans="2:9" outlineLevel="1" x14ac:dyDescent="0.2">
      <c r="C28" s="99"/>
      <c r="D28" s="101"/>
      <c r="E28" s="101"/>
      <c r="F28" s="101"/>
    </row>
    <row r="29" spans="2:9" outlineLevel="1" x14ac:dyDescent="0.2">
      <c r="C29" s="99"/>
      <c r="D29" s="75"/>
    </row>
    <row r="30" spans="2:9" x14ac:dyDescent="0.2">
      <c r="B30" s="99"/>
      <c r="C30" s="99"/>
      <c r="D30" s="75"/>
    </row>
    <row r="31" spans="2:9" x14ac:dyDescent="0.2">
      <c r="B31" s="2" t="s">
        <v>0</v>
      </c>
      <c r="C31" s="3"/>
      <c r="D31" s="3"/>
      <c r="E31" s="3"/>
      <c r="F31" s="4"/>
      <c r="G31" s="4"/>
      <c r="H31" s="4"/>
      <c r="I31" s="4"/>
    </row>
    <row r="32" spans="2:9" outlineLevel="1" x14ac:dyDescent="0.2">
      <c r="B32"/>
      <c r="C32"/>
    </row>
    <row r="33" spans="2:10" outlineLevel="1" x14ac:dyDescent="0.2">
      <c r="B33" s="137" t="s">
        <v>174</v>
      </c>
      <c r="C33" s="136" t="s">
        <v>1</v>
      </c>
      <c r="D33" s="102"/>
      <c r="E33" s="103"/>
      <c r="F33" s="103"/>
      <c r="G33" s="103"/>
      <c r="H33" s="103"/>
      <c r="I33" s="8"/>
    </row>
    <row r="34" spans="2:10" outlineLevel="1" x14ac:dyDescent="0.2">
      <c r="B34" s="138" t="s">
        <v>204</v>
      </c>
      <c r="C34" s="92">
        <v>44926</v>
      </c>
      <c r="D34" s="92">
        <f t="shared" ref="D34:I34" si="4">EDATE(C34,12)</f>
        <v>45291</v>
      </c>
      <c r="E34" s="92">
        <f t="shared" si="4"/>
        <v>45657</v>
      </c>
      <c r="F34" s="245">
        <f t="shared" si="4"/>
        <v>46022</v>
      </c>
      <c r="G34" s="245">
        <f t="shared" si="4"/>
        <v>46387</v>
      </c>
      <c r="H34" s="245">
        <f t="shared" si="4"/>
        <v>46752</v>
      </c>
      <c r="I34" s="245">
        <f t="shared" si="4"/>
        <v>47118</v>
      </c>
      <c r="J34" s="90"/>
    </row>
    <row r="35" spans="2:10" outlineLevel="1" x14ac:dyDescent="0.2">
      <c r="B35" s="142" t="s">
        <v>2</v>
      </c>
      <c r="C35" s="95">
        <v>3416767</v>
      </c>
      <c r="D35" s="94">
        <v>5772137</v>
      </c>
      <c r="E35" s="94">
        <v>6759161</v>
      </c>
      <c r="F35" s="13">
        <f t="shared" ref="F35:I36" si="5">E35*(1+F6)*(1+F8)</f>
        <v>8550338.665000001</v>
      </c>
      <c r="G35" s="13">
        <f t="shared" si="5"/>
        <v>10534017.235280003</v>
      </c>
      <c r="H35" s="13">
        <f t="shared" si="5"/>
        <v>12746160.854688806</v>
      </c>
      <c r="I35" s="13">
        <f t="shared" si="5"/>
        <v>15282646.864771882</v>
      </c>
    </row>
    <row r="36" spans="2:10" outlineLevel="1" x14ac:dyDescent="0.2">
      <c r="B36" s="142" t="s">
        <v>3</v>
      </c>
      <c r="C36" s="95">
        <v>-319542</v>
      </c>
      <c r="D36" s="95">
        <v>-559928</v>
      </c>
      <c r="E36" s="95">
        <v>-791837</v>
      </c>
      <c r="F36" s="15">
        <f t="shared" si="5"/>
        <v>-855906.51126249996</v>
      </c>
      <c r="G36" s="15">
        <f t="shared" si="5"/>
        <v>-923869.12585941539</v>
      </c>
      <c r="H36" s="15">
        <f t="shared" si="5"/>
        <v>-995370.36008433462</v>
      </c>
      <c r="I36" s="15">
        <f t="shared" si="5"/>
        <v>-1070904.0398593347</v>
      </c>
    </row>
    <row r="37" spans="2:10" outlineLevel="1" x14ac:dyDescent="0.2">
      <c r="B37" s="139" t="s">
        <v>4</v>
      </c>
      <c r="C37" s="96">
        <v>3097225</v>
      </c>
      <c r="D37" s="96">
        <v>5212209</v>
      </c>
      <c r="E37" s="96">
        <v>5967324</v>
      </c>
      <c r="F37" s="17">
        <f>SUM(F35:F36)</f>
        <v>7694432.1537375012</v>
      </c>
      <c r="G37" s="17">
        <f t="shared" ref="G37:I37" si="6">SUM(G35:G36)</f>
        <v>9610148.1094205882</v>
      </c>
      <c r="H37" s="17">
        <f t="shared" si="6"/>
        <v>11750790.494604472</v>
      </c>
      <c r="I37" s="17">
        <f t="shared" si="6"/>
        <v>14211742.824912548</v>
      </c>
    </row>
    <row r="38" spans="2:10" outlineLevel="1" x14ac:dyDescent="0.2">
      <c r="B38" s="142"/>
      <c r="C38" s="95"/>
      <c r="D38" s="95"/>
      <c r="E38" s="95"/>
      <c r="F38" s="15"/>
      <c r="G38" s="15"/>
      <c r="H38" s="15"/>
      <c r="I38" s="15"/>
    </row>
    <row r="39" spans="2:10" outlineLevel="1" x14ac:dyDescent="0.2">
      <c r="B39" s="64" t="s">
        <v>5</v>
      </c>
      <c r="C39" s="95">
        <v>1909597</v>
      </c>
      <c r="D39" s="95">
        <v>2125973</v>
      </c>
      <c r="E39" s="95">
        <v>2424697</v>
      </c>
      <c r="F39" s="15">
        <f>E39*(1+F12)*(1+F19)</f>
        <v>2833258.4444999998</v>
      </c>
      <c r="G39" s="15">
        <f>F39*(1+G12)*(1+G19)</f>
        <v>3294512.9192646001</v>
      </c>
      <c r="H39" s="15">
        <f>G39*(1+H12)*(1+H19)</f>
        <v>3830859.6225208775</v>
      </c>
      <c r="I39" s="15">
        <f>H39*(1+I12)*(1+I19)</f>
        <v>4454523.569067277</v>
      </c>
    </row>
    <row r="40" spans="2:10" outlineLevel="1" x14ac:dyDescent="0.2">
      <c r="B40" s="64" t="s">
        <v>6</v>
      </c>
      <c r="C40" s="95">
        <v>-770312</v>
      </c>
      <c r="D40" s="95">
        <v>-961150</v>
      </c>
      <c r="E40" s="95">
        <v>-1144244</v>
      </c>
      <c r="F40" s="15">
        <f>E40*(1+F12)+(1+F19)</f>
        <v>-1304437.1350000002</v>
      </c>
      <c r="G40" s="15">
        <f>F40*(1+G12)+(1+G19)</f>
        <v>-1487057.3139000004</v>
      </c>
      <c r="H40" s="15">
        <f>G40*(1+H12)+(1+H19)</f>
        <v>-1695244.3178460007</v>
      </c>
      <c r="I40" s="15">
        <f>H40*(1+I12)+(1+I19)</f>
        <v>-1932577.5023444409</v>
      </c>
      <c r="J40" s="101"/>
    </row>
    <row r="41" spans="2:10" outlineLevel="1" x14ac:dyDescent="0.2">
      <c r="B41" s="141" t="s">
        <v>7</v>
      </c>
      <c r="C41" s="96">
        <v>1139285</v>
      </c>
      <c r="D41" s="96">
        <v>1164823</v>
      </c>
      <c r="E41" s="96">
        <v>1280453</v>
      </c>
      <c r="F41" s="17">
        <f>SUM(F39:F40)</f>
        <v>1528821.3094999995</v>
      </c>
      <c r="G41" s="17">
        <f t="shared" ref="G41:I41" si="7">SUM(G39:G40)</f>
        <v>1807455.6053645997</v>
      </c>
      <c r="H41" s="17">
        <f t="shared" si="7"/>
        <v>2135615.3046748769</v>
      </c>
      <c r="I41" s="17">
        <f t="shared" si="7"/>
        <v>2521946.0667228363</v>
      </c>
    </row>
    <row r="42" spans="2:10" outlineLevel="1" x14ac:dyDescent="0.2">
      <c r="B42" s="143"/>
      <c r="C42" s="95"/>
      <c r="D42" s="95"/>
      <c r="E42" s="95"/>
      <c r="F42" s="15"/>
      <c r="G42" s="15"/>
      <c r="H42" s="15"/>
      <c r="I42" s="15"/>
    </row>
    <row r="43" spans="2:10" outlineLevel="1" x14ac:dyDescent="0.2">
      <c r="B43" s="140" t="str">
        <f>DATA!B14</f>
        <v>Нето-приходи од тргување</v>
      </c>
      <c r="C43" s="95">
        <f>DATA!D14</f>
        <v>-3560</v>
      </c>
      <c r="D43" s="95">
        <f>DATA!E14</f>
        <v>-2842</v>
      </c>
      <c r="E43" s="95">
        <f>DATA!F14</f>
        <v>59165</v>
      </c>
      <c r="F43" s="15">
        <f>F80</f>
        <v>59274.631911120639</v>
      </c>
      <c r="G43" s="15">
        <f t="shared" ref="G43:I43" si="8">G80</f>
        <v>59384.466968627421</v>
      </c>
      <c r="H43" s="15">
        <f t="shared" si="8"/>
        <v>59494.505548947731</v>
      </c>
      <c r="I43" s="15">
        <f t="shared" si="8"/>
        <v>59604.748029206479</v>
      </c>
    </row>
    <row r="44" spans="2:10" ht="24" outlineLevel="1" x14ac:dyDescent="0.2">
      <c r="B44" s="140" t="str">
        <f>DATA!B15</f>
        <v>Нето-приходи од други финансиски инструменти евидентирани по објективна вредност</v>
      </c>
      <c r="C44" s="95">
        <f>DATA!D15</f>
        <v>4566</v>
      </c>
      <c r="D44" s="95">
        <f>DATA!E15</f>
        <v>9198</v>
      </c>
      <c r="E44" s="95">
        <f>DATA!F15</f>
        <v>10837</v>
      </c>
      <c r="F44" s="15">
        <f>F83</f>
        <v>10848.996303385475</v>
      </c>
      <c r="G44" s="15">
        <f t="shared" ref="G44:I44" si="9">G83</f>
        <v>10861.005886395838</v>
      </c>
      <c r="H44" s="15">
        <f t="shared" si="9"/>
        <v>10873.028763731321</v>
      </c>
      <c r="I44" s="15">
        <f t="shared" si="9"/>
        <v>10885.06495010843</v>
      </c>
    </row>
    <row r="45" spans="2:10" outlineLevel="1" x14ac:dyDescent="0.2">
      <c r="B45" s="140" t="str">
        <f>DATA!B16</f>
        <v>Нето-приходи/(расходи) од курсни разлики</v>
      </c>
      <c r="C45" s="95">
        <f>DATA!D16</f>
        <v>336112</v>
      </c>
      <c r="D45" s="95">
        <f>DATA!E16</f>
        <v>365977</v>
      </c>
      <c r="E45" s="95">
        <f>DATA!F16</f>
        <v>376790</v>
      </c>
      <c r="F45" s="15">
        <f>F86</f>
        <v>114187.86537261501</v>
      </c>
      <c r="G45" s="15">
        <f t="shared" ref="G45:I45" si="10">G86</f>
        <v>117451.41285731162</v>
      </c>
      <c r="H45" s="15">
        <f t="shared" si="10"/>
        <v>120808.23419514591</v>
      </c>
      <c r="I45" s="15">
        <f t="shared" si="10"/>
        <v>124260.99520045638</v>
      </c>
    </row>
    <row r="46" spans="2:10" outlineLevel="1" x14ac:dyDescent="0.2">
      <c r="B46" s="140" t="str">
        <f>DATA!B17</f>
        <v>Останати приходи од дејноста</v>
      </c>
      <c r="C46" s="95">
        <f>DATA!D17</f>
        <v>918921</v>
      </c>
      <c r="D46" s="95">
        <f>DATA!E17</f>
        <v>274883</v>
      </c>
      <c r="E46" s="95">
        <f>DATA!F17</f>
        <v>1162004</v>
      </c>
      <c r="F46" s="15">
        <f>F89</f>
        <v>1291077.4849018385</v>
      </c>
      <c r="G46" s="15">
        <f t="shared" ref="G46:I46" si="11">G89</f>
        <v>1434488.2393007744</v>
      </c>
      <c r="H46" s="15">
        <f t="shared" si="11"/>
        <v>1593828.8234099974</v>
      </c>
      <c r="I46" s="15">
        <f t="shared" si="11"/>
        <v>1770868.6964005597</v>
      </c>
    </row>
    <row r="47" spans="2:10" outlineLevel="1" x14ac:dyDescent="0.2">
      <c r="B47" s="140" t="str">
        <f>DATA!B18</f>
        <v>Удел во добивката на придружените друштва</v>
      </c>
      <c r="C47" s="95">
        <f>DATA!D18</f>
        <v>75587</v>
      </c>
      <c r="D47" s="95">
        <f>DATA!E18</f>
        <v>92507</v>
      </c>
      <c r="E47" s="95">
        <f>DATA!F18</f>
        <v>111015</v>
      </c>
      <c r="F47" s="15">
        <f>F92</f>
        <v>112456.45514394963</v>
      </c>
      <c r="G47" s="15">
        <f t="shared" ref="G47:I47" si="12">G92</f>
        <v>113916.62661390942</v>
      </c>
      <c r="H47" s="15">
        <f t="shared" si="12"/>
        <v>115395.75742879037</v>
      </c>
      <c r="I47" s="15">
        <f t="shared" si="12"/>
        <v>116894.09376294065</v>
      </c>
    </row>
    <row r="48" spans="2:10" outlineLevel="1" x14ac:dyDescent="0.2">
      <c r="B48" s="141" t="s">
        <v>197</v>
      </c>
      <c r="C48" s="96">
        <f t="shared" ref="C48:E48" si="13">SUM(C43:C47)</f>
        <v>1331626</v>
      </c>
      <c r="D48" s="96">
        <f t="shared" si="13"/>
        <v>739723</v>
      </c>
      <c r="E48" s="96">
        <f t="shared" si="13"/>
        <v>1719811</v>
      </c>
      <c r="F48" s="17">
        <f>SUM(F43:F47)</f>
        <v>1587845.4336329093</v>
      </c>
      <c r="G48" s="17">
        <f t="shared" ref="G48:I48" si="14">SUM(G43:G47)</f>
        <v>1736101.7516270187</v>
      </c>
      <c r="H48" s="17">
        <f t="shared" si="14"/>
        <v>1900400.3493466128</v>
      </c>
      <c r="I48" s="17">
        <f t="shared" si="14"/>
        <v>2082513.5983432718</v>
      </c>
    </row>
    <row r="49" spans="2:9" outlineLevel="1" x14ac:dyDescent="0.2">
      <c r="B49" s="20"/>
      <c r="C49" s="106"/>
      <c r="D49" s="106"/>
      <c r="E49" s="106"/>
      <c r="F49" s="23"/>
      <c r="G49" s="23"/>
      <c r="H49" s="23"/>
      <c r="I49" s="23"/>
    </row>
    <row r="50" spans="2:9" outlineLevel="1" x14ac:dyDescent="0.2">
      <c r="B50" s="97" t="s">
        <v>202</v>
      </c>
      <c r="C50" s="96">
        <f t="shared" ref="C50:E50" si="15">SUM(C37,C41,C48)</f>
        <v>5568136</v>
      </c>
      <c r="D50" s="96">
        <f t="shared" si="15"/>
        <v>7116755</v>
      </c>
      <c r="E50" s="96">
        <f t="shared" si="15"/>
        <v>8967588</v>
      </c>
      <c r="F50" s="17">
        <f>SUM(F37,F41,F48)</f>
        <v>10811098.896870412</v>
      </c>
      <c r="G50" s="17">
        <f t="shared" ref="G50:I50" si="16">SUM(G37,G41,G48)</f>
        <v>13153705.466412207</v>
      </c>
      <c r="H50" s="17">
        <f t="shared" si="16"/>
        <v>15786806.148625962</v>
      </c>
      <c r="I50" s="17">
        <f t="shared" si="16"/>
        <v>18816202.489978656</v>
      </c>
    </row>
    <row r="51" spans="2:9" outlineLevel="1" x14ac:dyDescent="0.2">
      <c r="B51" s="20"/>
      <c r="C51" s="104"/>
      <c r="D51" s="104"/>
      <c r="E51" s="104"/>
      <c r="F51" s="105"/>
      <c r="G51" s="105"/>
      <c r="H51" s="105"/>
      <c r="I51" s="105"/>
    </row>
    <row r="52" spans="2:9" ht="24" outlineLevel="1" x14ac:dyDescent="0.2">
      <c r="B52" s="98" t="str">
        <f>DATA!B20</f>
        <v>Исправка на вредноста на финансиските средства и посебна резерва за вонбилансната изложеност, на нето-основа</v>
      </c>
      <c r="C52" s="95">
        <f>DATA!D20</f>
        <v>-994026</v>
      </c>
      <c r="D52" s="95">
        <f>DATA!E20</f>
        <v>-766891</v>
      </c>
      <c r="E52" s="95">
        <f>DATA!F20</f>
        <v>-670459</v>
      </c>
      <c r="F52" s="15">
        <f>F95</f>
        <v>-771027.85</v>
      </c>
      <c r="G52" s="15">
        <f t="shared" ref="G52:I52" si="17">G95</f>
        <v>-863551.19200000004</v>
      </c>
      <c r="H52" s="15">
        <f t="shared" si="17"/>
        <v>-949906.31120000011</v>
      </c>
      <c r="I52" s="15">
        <f t="shared" si="17"/>
        <v>-1035397.8792080001</v>
      </c>
    </row>
    <row r="53" spans="2:9" outlineLevel="1" x14ac:dyDescent="0.2">
      <c r="B53" s="97" t="s">
        <v>203</v>
      </c>
      <c r="C53" s="96">
        <f t="shared" ref="C53:E53" si="18">SUM(C52)</f>
        <v>-994026</v>
      </c>
      <c r="D53" s="96">
        <f t="shared" si="18"/>
        <v>-766891</v>
      </c>
      <c r="E53" s="96">
        <f t="shared" si="18"/>
        <v>-670459</v>
      </c>
      <c r="F53" s="17">
        <f>SUM(F52)</f>
        <v>-771027.85</v>
      </c>
      <c r="G53" s="17">
        <f t="shared" ref="G53:I53" si="19">SUM(G52)</f>
        <v>-863551.19200000004</v>
      </c>
      <c r="H53" s="17">
        <f t="shared" si="19"/>
        <v>-949906.31120000011</v>
      </c>
      <c r="I53" s="17">
        <f t="shared" si="19"/>
        <v>-1035397.8792080001</v>
      </c>
    </row>
    <row r="54" spans="2:9" outlineLevel="1" x14ac:dyDescent="0.2">
      <c r="B54" s="20"/>
      <c r="C54" s="104"/>
      <c r="D54" s="104"/>
      <c r="E54" s="104"/>
      <c r="F54" s="105"/>
      <c r="G54" s="105"/>
      <c r="H54" s="105"/>
      <c r="I54" s="105"/>
    </row>
    <row r="55" spans="2:9" outlineLevel="1" x14ac:dyDescent="0.2">
      <c r="B55" s="1" t="str">
        <f>DATA!B21</f>
        <v>Загуба поради оштетување на нефинансиските средства , на нето-основа</v>
      </c>
      <c r="C55" s="95">
        <f>DATA!D21</f>
        <v>-9734</v>
      </c>
      <c r="D55" s="95">
        <f>DATA!E21</f>
        <v>-6769</v>
      </c>
      <c r="E55" s="95">
        <f>DATA!F21</f>
        <v>-19290</v>
      </c>
      <c r="F55" s="15">
        <f>E55*(1+F$14)*(1+F$19)</f>
        <v>-20760.862499999999</v>
      </c>
      <c r="G55" s="15">
        <f>F55*(1+G$14)*(1+G$19)</f>
        <v>-22234.8837375</v>
      </c>
      <c r="H55" s="15">
        <f>G55*(1+H$14)*(1+H$19)</f>
        <v>-23813.5604828625</v>
      </c>
      <c r="I55" s="15">
        <f>H55*(1+I$14)*(1+I$19)</f>
        <v>-25504.323277145741</v>
      </c>
    </row>
    <row r="56" spans="2:9" outlineLevel="1" x14ac:dyDescent="0.2">
      <c r="B56" s="1" t="str">
        <f>DATA!B22</f>
        <v>Трошоци за вработените</v>
      </c>
      <c r="C56" s="95">
        <f>DATA!D22</f>
        <v>-1095738</v>
      </c>
      <c r="D56" s="95">
        <f>DATA!E22</f>
        <v>-1304427</v>
      </c>
      <c r="E56" s="95">
        <f>DATA!F22</f>
        <v>-1466347</v>
      </c>
      <c r="F56" s="15">
        <f>F97</f>
        <v>-1533065.7884999998</v>
      </c>
      <c r="G56" s="15">
        <f t="shared" ref="G56:I56" si="20">G97</f>
        <v>-1595001.6463553999</v>
      </c>
      <c r="H56" s="15">
        <f t="shared" si="20"/>
        <v>-1659439.712868158</v>
      </c>
      <c r="I56" s="15">
        <f t="shared" si="20"/>
        <v>-1726481.0772680317</v>
      </c>
    </row>
    <row r="57" spans="2:9" outlineLevel="1" x14ac:dyDescent="0.2">
      <c r="B57" s="1" t="str">
        <f>DATA!B23</f>
        <v>Амортизација</v>
      </c>
      <c r="C57" s="95">
        <f>DATA!D23</f>
        <v>-217243</v>
      </c>
      <c r="D57" s="95">
        <f>DATA!E23</f>
        <v>-235938</v>
      </c>
      <c r="E57" s="95">
        <f>DATA!F23</f>
        <v>-247739</v>
      </c>
      <c r="F57" s="15">
        <f>F101</f>
        <v>-250216.39</v>
      </c>
      <c r="G57" s="15">
        <f t="shared" ref="G57:I57" si="21">G101</f>
        <v>-252718.55390000003</v>
      </c>
      <c r="H57" s="15">
        <f t="shared" si="21"/>
        <v>-255245.73943900003</v>
      </c>
      <c r="I57" s="15">
        <f t="shared" si="21"/>
        <v>-257798.19683339001</v>
      </c>
    </row>
    <row r="58" spans="2:9" outlineLevel="1" x14ac:dyDescent="0.2">
      <c r="B58" s="1" t="str">
        <f>DATA!B24</f>
        <v>Останати расходи од дејноста</v>
      </c>
      <c r="C58" s="95">
        <f>DATA!D24</f>
        <v>-912823</v>
      </c>
      <c r="D58" s="95">
        <f>DATA!E24</f>
        <v>-864278</v>
      </c>
      <c r="E58" s="95">
        <f>DATA!F24</f>
        <v>-1039221</v>
      </c>
      <c r="F58" s="15">
        <f>F105</f>
        <v>-1065201.5249999999</v>
      </c>
      <c r="G58" s="15">
        <f t="shared" ref="G58:I58" si="22">G105</f>
        <v>-1086505.5555</v>
      </c>
      <c r="H58" s="15">
        <f t="shared" si="22"/>
        <v>-1108235.66661</v>
      </c>
      <c r="I58" s="15">
        <f t="shared" si="22"/>
        <v>-1130400.3799421999</v>
      </c>
    </row>
    <row r="59" spans="2:9" outlineLevel="1" x14ac:dyDescent="0.2">
      <c r="B59" s="1" t="str">
        <f>DATA!B25</f>
        <v>Удел во загубата на придружените друштва</v>
      </c>
      <c r="C59" s="95">
        <f>DATA!D25</f>
        <v>0</v>
      </c>
      <c r="D59" s="95">
        <f>DATA!E25</f>
        <v>0</v>
      </c>
      <c r="E59" s="95">
        <f>DATA!F25</f>
        <v>0</v>
      </c>
      <c r="F59" s="15">
        <f>E59*(1+F$14)*(1+F$19)</f>
        <v>0</v>
      </c>
      <c r="G59" s="15">
        <f>F59*(1+G$14)*(1+G$19)</f>
        <v>0</v>
      </c>
      <c r="H59" s="15">
        <f>G59*(1+H$14)*(1+H$19)</f>
        <v>0</v>
      </c>
      <c r="I59" s="15">
        <f>H59*(1+I$14)*(1+I$19)</f>
        <v>0</v>
      </c>
    </row>
    <row r="60" spans="2:9" outlineLevel="1" x14ac:dyDescent="0.2">
      <c r="B60" s="97" t="s">
        <v>198</v>
      </c>
      <c r="C60" s="96">
        <f t="shared" ref="C60:E60" si="23">SUM(C55:C59)</f>
        <v>-2235538</v>
      </c>
      <c r="D60" s="96">
        <f t="shared" si="23"/>
        <v>-2411412</v>
      </c>
      <c r="E60" s="96">
        <f t="shared" si="23"/>
        <v>-2772597</v>
      </c>
      <c r="F60" s="17">
        <f>SUM(F55:F59)</f>
        <v>-2869244.5659999996</v>
      </c>
      <c r="G60" s="17">
        <f t="shared" ref="G60:I60" si="24">SUM(G55:G59)</f>
        <v>-2956460.6394929001</v>
      </c>
      <c r="H60" s="17">
        <f t="shared" si="24"/>
        <v>-3046734.6794000203</v>
      </c>
      <c r="I60" s="17">
        <f t="shared" si="24"/>
        <v>-3140183.9773207675</v>
      </c>
    </row>
    <row r="61" spans="2:9" outlineLevel="1" x14ac:dyDescent="0.2">
      <c r="B61" s="97" t="s">
        <v>201</v>
      </c>
      <c r="C61" s="96">
        <f t="shared" ref="C61:E61" si="25">SUM(C50,C53,C60)</f>
        <v>2338572</v>
      </c>
      <c r="D61" s="96">
        <f t="shared" si="25"/>
        <v>3938452</v>
      </c>
      <c r="E61" s="96">
        <f t="shared" si="25"/>
        <v>5524532</v>
      </c>
      <c r="F61" s="17">
        <f>SUM(F50,F53,F60)</f>
        <v>7170826.4808704127</v>
      </c>
      <c r="G61" s="17">
        <f t="shared" ref="G61:I61" si="26">SUM(G50,G53,G60)</f>
        <v>9333693.6349193081</v>
      </c>
      <c r="H61" s="17">
        <f t="shared" si="26"/>
        <v>11790165.158025943</v>
      </c>
      <c r="I61" s="17">
        <f t="shared" si="26"/>
        <v>14640620.63344989</v>
      </c>
    </row>
    <row r="62" spans="2:9" outlineLevel="1" x14ac:dyDescent="0.2">
      <c r="B62" s="20"/>
      <c r="C62" s="95"/>
      <c r="D62" s="95"/>
      <c r="E62" s="95"/>
      <c r="F62" s="15"/>
      <c r="G62" s="15"/>
      <c r="H62" s="15"/>
      <c r="I62" s="15"/>
    </row>
    <row r="63" spans="2:9" outlineLevel="1" x14ac:dyDescent="0.2">
      <c r="B63" s="1" t="s">
        <v>199</v>
      </c>
      <c r="C63" s="108">
        <f>DATA!D28</f>
        <v>-166864</v>
      </c>
      <c r="D63" s="108">
        <f>DATA!E28</f>
        <v>-336075</v>
      </c>
      <c r="E63" s="108">
        <f>DATA!F28</f>
        <v>-564418</v>
      </c>
      <c r="F63" s="107">
        <f>-F61*F16</f>
        <v>-735009.71428921726</v>
      </c>
      <c r="G63" s="107">
        <f>-G61*G16</f>
        <v>-956703.59757922904</v>
      </c>
      <c r="H63" s="107">
        <f>-H61*H16</f>
        <v>-1208491.9286976592</v>
      </c>
      <c r="I63" s="107">
        <f>-I61*I16</f>
        <v>-1500663.6149286136</v>
      </c>
    </row>
    <row r="64" spans="2:9" outlineLevel="1" x14ac:dyDescent="0.2">
      <c r="B64" s="84" t="s">
        <v>200</v>
      </c>
      <c r="C64" s="109">
        <f t="shared" ref="C64:E64" si="27">SUM(C61:C63)</f>
        <v>2171708</v>
      </c>
      <c r="D64" s="109">
        <f t="shared" si="27"/>
        <v>3602377</v>
      </c>
      <c r="E64" s="109">
        <f t="shared" si="27"/>
        <v>4960114</v>
      </c>
      <c r="F64" s="17">
        <f>SUM(F61:F63)</f>
        <v>6435816.7665811954</v>
      </c>
      <c r="G64" s="17">
        <f t="shared" ref="G64:I64" si="28">SUM(G61:G63)</f>
        <v>8376990.0373400794</v>
      </c>
      <c r="H64" s="17">
        <f t="shared" si="28"/>
        <v>10581673.229328284</v>
      </c>
      <c r="I64" s="17">
        <f t="shared" si="28"/>
        <v>13139957.018521275</v>
      </c>
    </row>
    <row r="65" spans="2:9" outlineLevel="1" x14ac:dyDescent="0.2">
      <c r="B65" s="99"/>
      <c r="C65" s="121"/>
      <c r="D65" s="121"/>
      <c r="E65" s="121"/>
      <c r="F65" s="100"/>
      <c r="G65" s="100"/>
      <c r="H65" s="100"/>
      <c r="I65" s="100"/>
    </row>
    <row r="66" spans="2:9" outlineLevel="1" x14ac:dyDescent="0.2">
      <c r="B66" s="84" t="s">
        <v>171</v>
      </c>
      <c r="C66" s="109">
        <f>DATA!P85</f>
        <v>-1417692</v>
      </c>
      <c r="D66" s="109">
        <f>DATA!Q85</f>
        <v>-1172644</v>
      </c>
      <c r="E66" s="109">
        <f>DATA!R85</f>
        <v>-2076818</v>
      </c>
      <c r="F66" s="17">
        <f>-F64*F15</f>
        <v>-2703043.0419641021</v>
      </c>
      <c r="G66" s="17">
        <f>-G64*G15</f>
        <v>-3518335.8156828331</v>
      </c>
      <c r="H66" s="17">
        <f>-H64*H15</f>
        <v>-4444302.7563178791</v>
      </c>
      <c r="I66" s="17">
        <f>-I64*I15</f>
        <v>-5518781.9477789355</v>
      </c>
    </row>
    <row r="67" spans="2:9" outlineLevel="1" x14ac:dyDescent="0.2">
      <c r="B67" s="99"/>
      <c r="C67" s="121"/>
      <c r="D67" s="121"/>
      <c r="E67" s="121"/>
      <c r="F67" s="100"/>
      <c r="G67" s="100"/>
      <c r="H67" s="100"/>
      <c r="I67" s="100"/>
    </row>
    <row r="68" spans="2:9" outlineLevel="1" x14ac:dyDescent="0.2">
      <c r="B68" s="84" t="str">
        <f>DATA!B34</f>
        <v>Добивка/(загуба) за финансиската година, којашто им припаѓа на :</v>
      </c>
      <c r="C68" s="70"/>
      <c r="D68" s="406"/>
      <c r="E68" s="406"/>
      <c r="F68" s="412"/>
      <c r="G68" s="407"/>
      <c r="H68" s="407"/>
      <c r="I68" s="407"/>
    </row>
    <row r="69" spans="2:9" outlineLevel="1" x14ac:dyDescent="0.2">
      <c r="B69" s="99" t="str">
        <f>DATA!B35</f>
        <v>акционерите на Банката</v>
      </c>
      <c r="C69" s="411">
        <f>DATA!D35</f>
        <v>2156076</v>
      </c>
      <c r="D69" s="121">
        <f>DATA!E35</f>
        <v>3587308</v>
      </c>
      <c r="E69" s="121">
        <f>DATA!F35</f>
        <v>4946892</v>
      </c>
      <c r="F69" s="413">
        <f>F108</f>
        <v>6678304.2000000002</v>
      </c>
      <c r="G69" s="100">
        <f t="shared" ref="G69:I69" si="29">G108</f>
        <v>8681795.4600000009</v>
      </c>
      <c r="H69" s="100">
        <f t="shared" si="29"/>
        <v>10852244.325000001</v>
      </c>
      <c r="I69" s="100">
        <f t="shared" si="29"/>
        <v>11937468.757500002</v>
      </c>
    </row>
    <row r="70" spans="2:9" outlineLevel="1" x14ac:dyDescent="0.2">
      <c r="B70" s="212" t="str">
        <f>DATA!B36</f>
        <v>неконтролираното учество</v>
      </c>
      <c r="C70" s="409">
        <f>DATA!D36</f>
        <v>15632</v>
      </c>
      <c r="D70" s="403">
        <f>DATA!E36</f>
        <v>15069</v>
      </c>
      <c r="E70" s="403">
        <f>DATA!F36</f>
        <v>13222</v>
      </c>
      <c r="F70" s="414">
        <f>F111</f>
        <v>11899.800000000001</v>
      </c>
      <c r="G70" s="405">
        <f t="shared" ref="G70:I70" si="30">G111</f>
        <v>10947.816000000001</v>
      </c>
      <c r="H70" s="405">
        <f t="shared" si="30"/>
        <v>10290.947040000001</v>
      </c>
      <c r="I70" s="405">
        <f t="shared" si="30"/>
        <v>9776.3996879999995</v>
      </c>
    </row>
    <row r="71" spans="2:9" outlineLevel="1" x14ac:dyDescent="0.2">
      <c r="B71" s="99"/>
      <c r="C71" s="121"/>
      <c r="D71" s="121"/>
      <c r="E71" s="121"/>
      <c r="F71" s="100"/>
      <c r="G71" s="100"/>
      <c r="H71" s="100"/>
      <c r="I71" s="100"/>
    </row>
    <row r="72" spans="2:9" outlineLevel="1" x14ac:dyDescent="0.2">
      <c r="B72" s="84" t="str">
        <f>DATA!B38</f>
        <v>Заработка по акција</v>
      </c>
      <c r="C72" s="410"/>
      <c r="D72" s="406"/>
      <c r="E72" s="406"/>
      <c r="F72" s="412"/>
      <c r="G72" s="407"/>
      <c r="H72" s="407"/>
      <c r="I72" s="407"/>
    </row>
    <row r="73" spans="2:9" outlineLevel="1" x14ac:dyDescent="0.2">
      <c r="B73" s="99" t="str">
        <f>DATA!B39</f>
        <v>основна заработка по акција (во денари)</v>
      </c>
      <c r="C73" s="408">
        <f>DATA!D39</f>
        <v>946</v>
      </c>
      <c r="D73" s="121">
        <f>DATA!E39</f>
        <v>1574</v>
      </c>
      <c r="E73" s="121">
        <f>DATA!F39</f>
        <v>2171</v>
      </c>
      <c r="F73" s="415">
        <f>(F69/WACC!$F$3)*1000</f>
        <v>2930.2798908500718</v>
      </c>
      <c r="G73" s="402">
        <f>(G69/WACC!$F$3)*1000</f>
        <v>3809.3638581050936</v>
      </c>
      <c r="H73" s="402">
        <f>(H69/WACC!$F$3)*1000</f>
        <v>4761.7048226313664</v>
      </c>
      <c r="I73" s="402">
        <f>(I69/WACC!$F$3)*1000</f>
        <v>5237.8753048945046</v>
      </c>
    </row>
    <row r="74" spans="2:9" outlineLevel="1" x14ac:dyDescent="0.2">
      <c r="B74" s="212" t="str">
        <f>DATA!B40</f>
        <v>разводнета заработка по акција (во денари )</v>
      </c>
      <c r="C74" s="409">
        <f>DATA!D40</f>
        <v>946</v>
      </c>
      <c r="D74" s="403">
        <f>DATA!E40</f>
        <v>1574</v>
      </c>
      <c r="E74" s="403">
        <f>DATA!F40</f>
        <v>2171</v>
      </c>
      <c r="F74" s="416">
        <f>F73</f>
        <v>2930.2798908500718</v>
      </c>
      <c r="G74" s="404">
        <f t="shared" ref="G74:I74" si="31">G73</f>
        <v>3809.3638581050936</v>
      </c>
      <c r="H74" s="404">
        <f t="shared" si="31"/>
        <v>4761.7048226313664</v>
      </c>
      <c r="I74" s="404">
        <f t="shared" si="31"/>
        <v>5237.8753048945046</v>
      </c>
    </row>
    <row r="75" spans="2:9" outlineLevel="1" x14ac:dyDescent="0.2"/>
    <row r="76" spans="2:9" outlineLevel="1" x14ac:dyDescent="0.2">
      <c r="B76" s="2" t="s">
        <v>195</v>
      </c>
      <c r="C76" s="3"/>
      <c r="D76" s="3"/>
      <c r="E76" s="3"/>
      <c r="F76" s="4"/>
      <c r="G76" s="4"/>
      <c r="H76" s="4"/>
      <c r="I76" s="4"/>
    </row>
    <row r="77" spans="2:9" outlineLevel="1" x14ac:dyDescent="0.2"/>
    <row r="78" spans="2:9" outlineLevel="1" x14ac:dyDescent="0.2">
      <c r="C78" s="111">
        <v>44926</v>
      </c>
      <c r="D78" s="112">
        <f t="shared" ref="D78:I78" si="32">EDATE(C78,12)</f>
        <v>45291</v>
      </c>
      <c r="E78" s="112">
        <f t="shared" si="32"/>
        <v>45657</v>
      </c>
      <c r="F78" s="246">
        <f t="shared" si="32"/>
        <v>46022</v>
      </c>
      <c r="G78" s="246">
        <f t="shared" si="32"/>
        <v>46387</v>
      </c>
      <c r="H78" s="246">
        <f t="shared" si="32"/>
        <v>46752</v>
      </c>
      <c r="I78" s="246">
        <f t="shared" si="32"/>
        <v>47118</v>
      </c>
    </row>
    <row r="79" spans="2:9" outlineLevel="1" x14ac:dyDescent="0.2">
      <c r="C79" s="225"/>
      <c r="D79" s="225"/>
      <c r="E79" s="225"/>
      <c r="F79" s="225"/>
      <c r="G79" s="225"/>
      <c r="H79" s="225"/>
      <c r="I79" s="225"/>
    </row>
    <row r="80" spans="2:9" outlineLevel="1" x14ac:dyDescent="0.2">
      <c r="B80" s="113" t="str">
        <f>B43</f>
        <v>Нето-приходи од тргување</v>
      </c>
      <c r="C80" s="379">
        <f>C43</f>
        <v>-3560</v>
      </c>
      <c r="D80" s="225">
        <f t="shared" ref="D80:E80" si="33">D43</f>
        <v>-2842</v>
      </c>
      <c r="E80" s="225">
        <f t="shared" si="33"/>
        <v>59165</v>
      </c>
      <c r="F80" s="250">
        <f>E80*(1+F81)</f>
        <v>59274.631911120639</v>
      </c>
      <c r="G80" s="115">
        <f t="shared" ref="G80:I80" si="34">F80*(1+G81)</f>
        <v>59384.466968627421</v>
      </c>
      <c r="H80" s="115">
        <f t="shared" si="34"/>
        <v>59494.505548947731</v>
      </c>
      <c r="I80" s="115">
        <f t="shared" si="34"/>
        <v>59604.748029206479</v>
      </c>
    </row>
    <row r="81" spans="2:9" outlineLevel="1" x14ac:dyDescent="0.2">
      <c r="B81" s="118" t="str">
        <f>_xlfn.CONCAT(B80," како % од вкупна оперативна добивка/(загуба)")</f>
        <v>Нето-приходи од тргување како % од вкупна оперативна добивка/(загуба)</v>
      </c>
      <c r="C81" s="380">
        <f>C80/C$50</f>
        <v>-6.3935219973075368E-4</v>
      </c>
      <c r="D81" s="224">
        <f t="shared" ref="D81:E81" si="35">D80/D$50</f>
        <v>-3.9933930562454376E-4</v>
      </c>
      <c r="E81" s="224">
        <f t="shared" si="35"/>
        <v>6.5976492229571655E-3</v>
      </c>
      <c r="F81" s="380">
        <f>AVERAGE($C$81:E81)</f>
        <v>1.8529859058672895E-3</v>
      </c>
      <c r="G81" s="224">
        <f>AVERAGE($C$81:F81)</f>
        <v>1.8529859058672895E-3</v>
      </c>
      <c r="H81" s="224">
        <f>AVERAGE($C$81:G81)</f>
        <v>1.8529859058672895E-3</v>
      </c>
      <c r="I81" s="224">
        <f>AVERAGE($C$81:H81)</f>
        <v>1.8529859058672895E-3</v>
      </c>
    </row>
    <row r="82" spans="2:9" outlineLevel="1" x14ac:dyDescent="0.2">
      <c r="B82" s="91"/>
      <c r="C82" s="222"/>
      <c r="D82" s="226"/>
      <c r="E82" s="226"/>
      <c r="F82" s="223"/>
      <c r="G82" s="223"/>
      <c r="H82" s="223"/>
      <c r="I82" s="223"/>
    </row>
    <row r="83" spans="2:9" outlineLevel="1" x14ac:dyDescent="0.2">
      <c r="B83" s="113" t="str">
        <f>B44</f>
        <v>Нето-приходи од други финансиски инструменти евидентирани по објективна вредност</v>
      </c>
      <c r="C83" s="379">
        <f>C44</f>
        <v>4566</v>
      </c>
      <c r="D83" s="225">
        <f t="shared" ref="D83:E83" si="36">D44</f>
        <v>9198</v>
      </c>
      <c r="E83" s="225">
        <f t="shared" si="36"/>
        <v>10837</v>
      </c>
      <c r="F83" s="250">
        <f>E83*(1+F84)</f>
        <v>10848.996303385475</v>
      </c>
      <c r="G83" s="115">
        <f t="shared" ref="G83" si="37">F83*(1+G84)</f>
        <v>10861.005886395838</v>
      </c>
      <c r="H83" s="115">
        <f t="shared" ref="H83" si="38">G83*(1+H84)</f>
        <v>10873.028763731321</v>
      </c>
      <c r="I83" s="115">
        <f t="shared" ref="I83" si="39">H83*(1+I84)</f>
        <v>10885.06495010843</v>
      </c>
    </row>
    <row r="84" spans="2:9" ht="24" outlineLevel="1" x14ac:dyDescent="0.2">
      <c r="B84" s="118" t="str">
        <f>_xlfn.CONCAT(B83," како % од вкупна оперативна добивка/(загуба)")</f>
        <v>Нето-приходи од други финансиски инструменти евидентирани по објективна вредност како % од вкупна оперативна добивка/(загуба)</v>
      </c>
      <c r="C84" s="380">
        <f>C83/C$50</f>
        <v>8.2002307414905096E-4</v>
      </c>
      <c r="D84" s="224">
        <f t="shared" ref="D84" si="40">D83/D$50</f>
        <v>1.2924429743612082E-3</v>
      </c>
      <c r="E84" s="224">
        <f t="shared" ref="E84" si="41">E83/E$50</f>
        <v>1.2084631898789285E-3</v>
      </c>
      <c r="F84" s="380">
        <f>AVERAGE($C$84:E84)</f>
        <v>1.1069764127963958E-3</v>
      </c>
      <c r="G84" s="224">
        <f>AVERAGE($C$84:F84)</f>
        <v>1.1069764127963958E-3</v>
      </c>
      <c r="H84" s="224">
        <f>AVERAGE($C$84:G84)</f>
        <v>1.1069764127963958E-3</v>
      </c>
      <c r="I84" s="224">
        <f>AVERAGE($C$84:H84)</f>
        <v>1.1069764127963958E-3</v>
      </c>
    </row>
    <row r="85" spans="2:9" outlineLevel="1" x14ac:dyDescent="0.2">
      <c r="B85" s="19"/>
      <c r="C85" s="76"/>
      <c r="D85" s="76"/>
      <c r="E85" s="76"/>
      <c r="F85" s="76"/>
      <c r="G85" s="76"/>
      <c r="H85" s="76"/>
      <c r="I85" s="76"/>
    </row>
    <row r="86" spans="2:9" outlineLevel="1" x14ac:dyDescent="0.2">
      <c r="B86" s="113" t="str">
        <f>B45</f>
        <v>Нето-приходи/(расходи) од курсни разлики</v>
      </c>
      <c r="C86" s="379">
        <f>C45</f>
        <v>336112</v>
      </c>
      <c r="D86" s="225">
        <f t="shared" ref="D86:E86" si="42">D47</f>
        <v>92507</v>
      </c>
      <c r="E86" s="225">
        <f t="shared" si="42"/>
        <v>111015</v>
      </c>
      <c r="F86" s="250">
        <f>E86*(1+F87)</f>
        <v>114187.86537261501</v>
      </c>
      <c r="G86" s="115">
        <f t="shared" ref="G86" si="43">F86*(1+G87)</f>
        <v>117451.41285731162</v>
      </c>
      <c r="H86" s="115">
        <f t="shared" ref="H86" si="44">G86*(1+H87)</f>
        <v>120808.23419514591</v>
      </c>
      <c r="I86" s="115">
        <f t="shared" ref="I86" si="45">H86*(1+I87)</f>
        <v>124260.99520045638</v>
      </c>
    </row>
    <row r="87" spans="2:9" ht="24" outlineLevel="1" x14ac:dyDescent="0.2">
      <c r="B87" s="118" t="str">
        <f>_xlfn.CONCAT(B86," како % од вкупна оперативна добивка/(загуба)")</f>
        <v>Нето-приходи/(расходи) од курсни разлики како % од вкупна оперативна добивка/(загуба)</v>
      </c>
      <c r="C87" s="380">
        <f>C86/C$50</f>
        <v>6.0363468133680639E-2</v>
      </c>
      <c r="D87" s="224">
        <f t="shared" ref="D87" si="46">D86/D$50</f>
        <v>1.2998480346731059E-2</v>
      </c>
      <c r="E87" s="224">
        <f t="shared" ref="E87" si="47">E86/E$50</f>
        <v>1.2379583004928415E-2</v>
      </c>
      <c r="F87" s="380">
        <f>AVERAGE($C$87:E87)</f>
        <v>2.858051049511337E-2</v>
      </c>
      <c r="G87" s="224">
        <f>AVERAGE($C$87:F87)</f>
        <v>2.858051049511337E-2</v>
      </c>
      <c r="H87" s="224">
        <f>AVERAGE($C$87:G87)</f>
        <v>2.858051049511337E-2</v>
      </c>
      <c r="I87" s="224">
        <f>AVERAGE($C$87:H87)</f>
        <v>2.858051049511337E-2</v>
      </c>
    </row>
    <row r="88" spans="2:9" outlineLevel="1" x14ac:dyDescent="0.2">
      <c r="B88" s="91"/>
    </row>
    <row r="89" spans="2:9" outlineLevel="1" x14ac:dyDescent="0.2">
      <c r="B89" s="113" t="str">
        <f>B46</f>
        <v>Останати приходи од дејноста</v>
      </c>
      <c r="C89" s="379">
        <f>C46</f>
        <v>918921</v>
      </c>
      <c r="D89" s="225">
        <f t="shared" ref="D89:E89" si="48">D46</f>
        <v>274883</v>
      </c>
      <c r="E89" s="225">
        <f t="shared" si="48"/>
        <v>1162004</v>
      </c>
      <c r="F89" s="250">
        <f>E89*(1+F90)</f>
        <v>1291077.4849018385</v>
      </c>
      <c r="G89" s="115">
        <f t="shared" ref="G89" si="49">F89*(1+G90)</f>
        <v>1434488.2393007744</v>
      </c>
      <c r="H89" s="115">
        <f t="shared" ref="H89" si="50">G89*(1+H90)</f>
        <v>1593828.8234099974</v>
      </c>
      <c r="I89" s="115">
        <f t="shared" ref="I89" si="51">H89*(1+I90)</f>
        <v>1770868.6964005597</v>
      </c>
    </row>
    <row r="90" spans="2:9" ht="24" outlineLevel="1" x14ac:dyDescent="0.2">
      <c r="B90" s="118" t="str">
        <f>_xlfn.CONCAT(B89," како % од вкупна оперативна добивка/(загуба)")</f>
        <v>Останати приходи од дејноста како % од вкупна оперативна добивка/(загуба)</v>
      </c>
      <c r="C90" s="380">
        <f>C89/C$50</f>
        <v>0.16503206818224267</v>
      </c>
      <c r="D90" s="224">
        <f t="shared" ref="D90" si="52">D89/D$50</f>
        <v>3.8624766484163076E-2</v>
      </c>
      <c r="E90" s="224">
        <f t="shared" ref="E90" si="53">E89/E$50</f>
        <v>0.12957820988207755</v>
      </c>
      <c r="F90" s="380">
        <f>AVERAGE($C$90:E90)</f>
        <v>0.11107834818282776</v>
      </c>
      <c r="G90" s="224">
        <f>AVERAGE($C$90:F90)</f>
        <v>0.11107834818282776</v>
      </c>
      <c r="H90" s="224">
        <f>AVERAGE($C$90:G90)</f>
        <v>0.11107834818282776</v>
      </c>
      <c r="I90" s="224">
        <f>AVERAGE($C$90:H90)</f>
        <v>0.11107834818282776</v>
      </c>
    </row>
    <row r="91" spans="2:9" outlineLevel="1" x14ac:dyDescent="0.2">
      <c r="B91" s="91"/>
    </row>
    <row r="92" spans="2:9" outlineLevel="1" x14ac:dyDescent="0.2">
      <c r="B92" s="113" t="str">
        <f>B47</f>
        <v>Удел во добивката на придружените друштва</v>
      </c>
      <c r="C92" s="379">
        <f>C47</f>
        <v>75587</v>
      </c>
      <c r="D92" s="225">
        <f t="shared" ref="D92:E92" si="54">D47</f>
        <v>92507</v>
      </c>
      <c r="E92" s="225">
        <f t="shared" si="54"/>
        <v>111015</v>
      </c>
      <c r="F92" s="250">
        <f>E92*(1+F93)</f>
        <v>112456.45514394963</v>
      </c>
      <c r="G92" s="115">
        <f t="shared" ref="G92" si="55">F92*(1+G93)</f>
        <v>113916.62661390942</v>
      </c>
      <c r="H92" s="115">
        <f t="shared" ref="H92" si="56">G92*(1+H93)</f>
        <v>115395.75742879037</v>
      </c>
      <c r="I92" s="115">
        <f t="shared" ref="I92" si="57">H92*(1+I93)</f>
        <v>116894.09376294065</v>
      </c>
    </row>
    <row r="93" spans="2:9" ht="24" outlineLevel="1" x14ac:dyDescent="0.2">
      <c r="B93" s="118" t="str">
        <f>_xlfn.CONCAT(B92," како % од вкупна оперативна добивка/(загуба)")</f>
        <v>Удел во добивката на придружените друштва како % од вкупна оперативна добивка/(загуба)</v>
      </c>
      <c r="C93" s="380">
        <f>C92/C$50</f>
        <v>1.3574919865463057E-2</v>
      </c>
      <c r="D93" s="224">
        <f t="shared" ref="D93" si="58">D92/D$50</f>
        <v>1.2998480346731059E-2</v>
      </c>
      <c r="E93" s="224">
        <f t="shared" ref="E93" si="59">E92/E$50</f>
        <v>1.2379583004928415E-2</v>
      </c>
      <c r="F93" s="380">
        <f>AVERAGE($C$93:E93)</f>
        <v>1.2984327739040841E-2</v>
      </c>
      <c r="G93" s="224">
        <f>AVERAGE($C$93:F93)</f>
        <v>1.2984327739040841E-2</v>
      </c>
      <c r="H93" s="224">
        <f>AVERAGE($C$93:G93)</f>
        <v>1.2984327739040841E-2</v>
      </c>
      <c r="I93" s="224">
        <f>AVERAGE($C$93:H93)</f>
        <v>1.2984327739040841E-2</v>
      </c>
    </row>
    <row r="94" spans="2:9" outlineLevel="1" x14ac:dyDescent="0.2">
      <c r="B94" s="91"/>
      <c r="C94" s="120"/>
      <c r="D94" s="120"/>
      <c r="E94" s="120"/>
      <c r="F94" s="101"/>
      <c r="G94" s="101"/>
      <c r="H94" s="101"/>
      <c r="I94" s="101"/>
    </row>
    <row r="95" spans="2:9" ht="24" outlineLevel="1" x14ac:dyDescent="0.2">
      <c r="B95" s="264" t="str">
        <f>B52</f>
        <v>Исправка на вредноста на финансиските средства и посебна резерва за вонбилансната изложеност, на нето-основа</v>
      </c>
      <c r="C95" s="381">
        <f>C52</f>
        <v>-994026</v>
      </c>
      <c r="D95" s="132">
        <f t="shared" ref="D95:E95" si="60">D52</f>
        <v>-766891</v>
      </c>
      <c r="E95" s="132">
        <f t="shared" si="60"/>
        <v>-670459</v>
      </c>
      <c r="F95" s="268">
        <f>E95*(1+F6)</f>
        <v>-771027.85</v>
      </c>
      <c r="G95" s="119">
        <f>F95*(1+G6)</f>
        <v>-863551.19200000004</v>
      </c>
      <c r="H95" s="119">
        <f>G95*(1+H6)</f>
        <v>-949906.31120000011</v>
      </c>
      <c r="I95" s="119">
        <f>H95*(1+I6)</f>
        <v>-1035397.8792080001</v>
      </c>
    </row>
    <row r="96" spans="2:9" outlineLevel="1" x14ac:dyDescent="0.2">
      <c r="B96" s="91"/>
      <c r="C96" s="120"/>
      <c r="D96" s="120"/>
      <c r="E96" s="120"/>
      <c r="F96" s="93"/>
      <c r="G96" s="93"/>
      <c r="H96" s="93"/>
      <c r="I96" s="93"/>
    </row>
    <row r="97" spans="2:9" outlineLevel="1" x14ac:dyDescent="0.2">
      <c r="B97" s="113" t="str">
        <f>B56</f>
        <v>Трошоци за вработените</v>
      </c>
      <c r="C97" s="250">
        <f>C56</f>
        <v>-1095738</v>
      </c>
      <c r="D97" s="115">
        <f t="shared" ref="D97:E97" si="61">D56</f>
        <v>-1304427</v>
      </c>
      <c r="E97" s="115">
        <f t="shared" si="61"/>
        <v>-1466347</v>
      </c>
      <c r="F97" s="250">
        <f>E97*(1+F19)*(1+F99)</f>
        <v>-1533065.7884999998</v>
      </c>
      <c r="G97" s="115">
        <f>F97*(1+G19)*(1+G99)</f>
        <v>-1595001.6463553999</v>
      </c>
      <c r="H97" s="115">
        <f>G97*(1+H19)*(1+H99)</f>
        <v>-1659439.712868158</v>
      </c>
      <c r="I97" s="115">
        <f>H97*(1+I19)*(1+I99)</f>
        <v>-1726481.0772680317</v>
      </c>
    </row>
    <row r="98" spans="2:9" outlineLevel="1" x14ac:dyDescent="0.2">
      <c r="B98" s="91" t="str">
        <f>_xlfn.CONCAT(B97," како % од вкупна оперативна добивка/(загуба)")</f>
        <v>Трошоци за вработените како % од вкупна оперативна добивка/(загуба)</v>
      </c>
      <c r="C98" s="251">
        <f>C97/C$60</f>
        <v>0.49014510153707969</v>
      </c>
      <c r="D98" s="76">
        <f t="shared" ref="D98:F98" si="62">D97/D$60</f>
        <v>0.54093908465247742</v>
      </c>
      <c r="E98" s="76">
        <f t="shared" si="62"/>
        <v>0.52887130729781506</v>
      </c>
      <c r="F98" s="251">
        <f t="shared" si="62"/>
        <v>0.53430990396097167</v>
      </c>
      <c r="G98" s="76">
        <f t="shared" ref="G98" si="63">G97/G$60</f>
        <v>0.5394970002472208</v>
      </c>
      <c r="H98" s="76">
        <f t="shared" ref="H98" si="64">H97/H$60</f>
        <v>0.54466170752844945</v>
      </c>
      <c r="I98" s="76">
        <f t="shared" ref="I98" si="65">I97/I$60</f>
        <v>0.54980252422696596</v>
      </c>
    </row>
    <row r="99" spans="2:9" outlineLevel="1" x14ac:dyDescent="0.2">
      <c r="B99" s="118" t="str">
        <f>_xlfn.CONCAT(B97," дополнителен % раст")</f>
        <v>Трошоци за вработените дополнителен % раст</v>
      </c>
      <c r="C99" s="215"/>
      <c r="D99" s="116"/>
      <c r="E99" s="116"/>
      <c r="F99" s="262">
        <v>0.02</v>
      </c>
      <c r="G99" s="263">
        <v>0.02</v>
      </c>
      <c r="H99" s="263">
        <v>0.02</v>
      </c>
      <c r="I99" s="263">
        <v>0.02</v>
      </c>
    </row>
    <row r="100" spans="2:9" outlineLevel="1" x14ac:dyDescent="0.2">
      <c r="B100" s="91"/>
      <c r="C100" s="76"/>
      <c r="D100" s="76"/>
      <c r="E100" s="76"/>
      <c r="F100" s="376"/>
      <c r="G100" s="376"/>
      <c r="H100" s="376"/>
      <c r="I100" s="376"/>
    </row>
    <row r="101" spans="2:9" outlineLevel="1" x14ac:dyDescent="0.2">
      <c r="B101" s="113" t="str">
        <f>B57</f>
        <v>Амортизација</v>
      </c>
      <c r="C101" s="250">
        <f>C57</f>
        <v>-217243</v>
      </c>
      <c r="D101" s="115">
        <f t="shared" ref="D101:E101" si="66">D57</f>
        <v>-235938</v>
      </c>
      <c r="E101" s="115">
        <f t="shared" si="66"/>
        <v>-247739</v>
      </c>
      <c r="F101" s="250">
        <f>E101*(1+F103)</f>
        <v>-250216.39</v>
      </c>
      <c r="G101" s="115">
        <f t="shared" ref="G101:I101" si="67">F101*(1+G103)</f>
        <v>-252718.55390000003</v>
      </c>
      <c r="H101" s="115">
        <f t="shared" si="67"/>
        <v>-255245.73943900003</v>
      </c>
      <c r="I101" s="115">
        <f t="shared" si="67"/>
        <v>-257798.19683339001</v>
      </c>
    </row>
    <row r="102" spans="2:9" outlineLevel="1" x14ac:dyDescent="0.2">
      <c r="B102" s="91" t="str">
        <f>_xlfn.CONCAT(B101," како % од вкупна оперативна добивка/(загуба)")</f>
        <v>Амортизација како % од вкупна оперативна добивка/(загуба)</v>
      </c>
      <c r="C102" s="251">
        <f>C101/C$60</f>
        <v>9.7177055366538173E-2</v>
      </c>
      <c r="D102" s="76">
        <f t="shared" ref="D102:E102" si="68">D101/D$60</f>
        <v>9.7842260053445859E-2</v>
      </c>
      <c r="E102" s="76">
        <f t="shared" si="68"/>
        <v>8.9352689914906497E-2</v>
      </c>
      <c r="F102" s="251">
        <f t="shared" ref="F102" si="69">F101/F$60</f>
        <v>8.7206365384469645E-2</v>
      </c>
      <c r="G102" s="76">
        <f t="shared" ref="G102" si="70">G101/G$60</f>
        <v>8.5480100943724033E-2</v>
      </c>
      <c r="H102" s="76">
        <f t="shared" ref="H102" si="71">H101/H$60</f>
        <v>8.3776818889022664E-2</v>
      </c>
      <c r="I102" s="76">
        <f t="shared" ref="I102" si="72">I101/I$60</f>
        <v>8.2096526412234513E-2</v>
      </c>
    </row>
    <row r="103" spans="2:9" outlineLevel="1" x14ac:dyDescent="0.2">
      <c r="B103" s="118" t="str">
        <f>_xlfn.CONCAT(B101," дополнителен % раст")</f>
        <v>Амортизација дополнителен % раст</v>
      </c>
      <c r="C103" s="215"/>
      <c r="D103" s="116"/>
      <c r="E103" s="116"/>
      <c r="F103" s="262">
        <v>0.01</v>
      </c>
      <c r="G103" s="263">
        <v>0.01</v>
      </c>
      <c r="H103" s="263">
        <v>0.01</v>
      </c>
      <c r="I103" s="263">
        <v>0.01</v>
      </c>
    </row>
    <row r="104" spans="2:9" outlineLevel="1" x14ac:dyDescent="0.2">
      <c r="B104" s="91"/>
      <c r="C104" s="76"/>
      <c r="D104" s="76"/>
      <c r="E104" s="76"/>
      <c r="F104" s="76"/>
      <c r="G104" s="76"/>
      <c r="H104" s="76"/>
      <c r="I104" s="76"/>
    </row>
    <row r="105" spans="2:9" outlineLevel="1" x14ac:dyDescent="0.2">
      <c r="B105" s="113" t="str">
        <f>B58</f>
        <v>Останати расходи од дејноста</v>
      </c>
      <c r="C105" s="250">
        <f>C58</f>
        <v>-912823</v>
      </c>
      <c r="D105" s="115">
        <f t="shared" ref="D105:E105" si="73">D58</f>
        <v>-864278</v>
      </c>
      <c r="E105" s="115">
        <f t="shared" si="73"/>
        <v>-1039221</v>
      </c>
      <c r="F105" s="250">
        <f>E105*(1+F19)</f>
        <v>-1065201.5249999999</v>
      </c>
      <c r="G105" s="115">
        <f>F105*(1+G19)</f>
        <v>-1086505.5555</v>
      </c>
      <c r="H105" s="115">
        <f>G105*(1+H19)</f>
        <v>-1108235.66661</v>
      </c>
      <c r="I105" s="115">
        <f>H105*(1+I19)</f>
        <v>-1130400.3799421999</v>
      </c>
    </row>
    <row r="106" spans="2:9" ht="24" outlineLevel="1" x14ac:dyDescent="0.2">
      <c r="B106" s="118" t="str">
        <f>_xlfn.CONCAT(B105," како % од вкупна оперативна добивка/(загуба)")</f>
        <v>Останати расходи од дејноста како % од вкупна оперативна добивка/(загуба)</v>
      </c>
      <c r="C106" s="215">
        <f>C105/C$60</f>
        <v>0.40832363395299026</v>
      </c>
      <c r="D106" s="116">
        <f>D105/D$60</f>
        <v>0.35841158624075853</v>
      </c>
      <c r="E106" s="116">
        <f>E105/E$60</f>
        <v>0.37481862672433103</v>
      </c>
      <c r="F106" s="215">
        <f t="shared" ref="F106:I106" si="74">F105/F$60</f>
        <v>0.37124807610422428</v>
      </c>
      <c r="G106" s="116">
        <f t="shared" si="74"/>
        <v>0.3675021209436295</v>
      </c>
      <c r="H106" s="116">
        <f t="shared" si="74"/>
        <v>0.36374538094936437</v>
      </c>
      <c r="I106" s="116">
        <f t="shared" si="74"/>
        <v>0.35997902928817166</v>
      </c>
    </row>
    <row r="107" spans="2:9" outlineLevel="1" x14ac:dyDescent="0.2">
      <c r="B107" s="91"/>
      <c r="C107" s="76"/>
      <c r="D107" s="76"/>
      <c r="E107" s="76"/>
      <c r="F107" s="76"/>
      <c r="G107" s="76"/>
      <c r="H107" s="76"/>
      <c r="I107" s="76"/>
    </row>
    <row r="108" spans="2:9" outlineLevel="1" x14ac:dyDescent="0.2">
      <c r="B108" s="113" t="str">
        <f>_xlfn.CONCAT(B68," ",B69)</f>
        <v>Добивка/(загуба) за финансиската година, којашто им припаѓа на : акционерите на Банката</v>
      </c>
      <c r="C108" s="250">
        <f>C69</f>
        <v>2156076</v>
      </c>
      <c r="D108" s="115">
        <f t="shared" ref="D108:E108" si="75">D69</f>
        <v>3587308</v>
      </c>
      <c r="E108" s="115">
        <f t="shared" si="75"/>
        <v>4946892</v>
      </c>
      <c r="F108" s="250">
        <f>E108*(1+F109)</f>
        <v>6678304.2000000002</v>
      </c>
      <c r="G108" s="115">
        <f t="shared" ref="G108:I108" si="76">F108*(1+G109)</f>
        <v>8681795.4600000009</v>
      </c>
      <c r="H108" s="115">
        <f t="shared" si="76"/>
        <v>10852244.325000001</v>
      </c>
      <c r="I108" s="115">
        <f t="shared" si="76"/>
        <v>11937468.757500002</v>
      </c>
    </row>
    <row r="109" spans="2:9" ht="24" outlineLevel="1" x14ac:dyDescent="0.2">
      <c r="B109" s="118" t="str">
        <f>_xlfn.CONCAT("YoY раст на ",B108)</f>
        <v>YoY раст на Добивка/(загуба) за финансиската година, којашто им припаѓа на : акционерите на Банката</v>
      </c>
      <c r="C109" s="215"/>
      <c r="D109" s="116">
        <f>D108/C108-1</f>
        <v>0.66381333496592876</v>
      </c>
      <c r="E109" s="116">
        <f>E108/D108-1</f>
        <v>0.37899840214444924</v>
      </c>
      <c r="F109" s="262">
        <v>0.35</v>
      </c>
      <c r="G109" s="263">
        <v>0.3</v>
      </c>
      <c r="H109" s="263">
        <v>0.25</v>
      </c>
      <c r="I109" s="263">
        <v>0.1</v>
      </c>
    </row>
    <row r="110" spans="2:9" outlineLevel="1" x14ac:dyDescent="0.2">
      <c r="B110" s="91"/>
      <c r="C110" s="76"/>
      <c r="D110" s="76"/>
      <c r="E110" s="76"/>
      <c r="F110" s="76"/>
      <c r="G110" s="76"/>
      <c r="H110" s="76"/>
      <c r="I110" s="76"/>
    </row>
    <row r="111" spans="2:9" outlineLevel="1" x14ac:dyDescent="0.2">
      <c r="B111" s="113" t="str">
        <f>_xlfn.CONCAT(B68," ",B70)</f>
        <v>Добивка/(загуба) за финансиската година, којашто им припаѓа на : неконтролираното учество</v>
      </c>
      <c r="C111" s="250">
        <f>C70</f>
        <v>15632</v>
      </c>
      <c r="D111" s="115">
        <f t="shared" ref="D111:E111" si="77">D70</f>
        <v>15069</v>
      </c>
      <c r="E111" s="115">
        <f t="shared" si="77"/>
        <v>13222</v>
      </c>
      <c r="F111" s="250">
        <f>E111*(1+F112)</f>
        <v>11899.800000000001</v>
      </c>
      <c r="G111" s="115">
        <f t="shared" ref="G111:I111" si="78">F111*(1+G112)</f>
        <v>10947.816000000001</v>
      </c>
      <c r="H111" s="115">
        <f t="shared" si="78"/>
        <v>10290.947040000001</v>
      </c>
      <c r="I111" s="115">
        <f t="shared" si="78"/>
        <v>9776.3996879999995</v>
      </c>
    </row>
    <row r="112" spans="2:9" ht="24" outlineLevel="1" x14ac:dyDescent="0.2">
      <c r="B112" s="118" t="str">
        <f>_xlfn.CONCAT("YoY раст на ",B111)</f>
        <v>YoY раст на Добивка/(загуба) за финансиската година, којашто им припаѓа на : неконтролираното учество</v>
      </c>
      <c r="C112" s="215"/>
      <c r="D112" s="116">
        <f>D111/C111-1</f>
        <v>-3.6015864892528171E-2</v>
      </c>
      <c r="E112" s="116">
        <f>E111/D111-1</f>
        <v>-0.12256951357090717</v>
      </c>
      <c r="F112" s="262">
        <v>-0.1</v>
      </c>
      <c r="G112" s="263">
        <v>-0.08</v>
      </c>
      <c r="H112" s="263">
        <v>-0.06</v>
      </c>
      <c r="I112" s="263">
        <v>-0.05</v>
      </c>
    </row>
    <row r="113" spans="2:9" outlineLevel="1" x14ac:dyDescent="0.2"/>
    <row r="114" spans="2:9" outlineLevel="1" x14ac:dyDescent="0.2">
      <c r="B114" s="2" t="s">
        <v>28</v>
      </c>
      <c r="C114" s="3"/>
      <c r="D114" s="3"/>
      <c r="E114" s="3"/>
      <c r="F114" s="4"/>
      <c r="G114" s="4"/>
      <c r="H114" s="4"/>
      <c r="I114" s="4"/>
    </row>
    <row r="115" spans="2:9" outlineLevel="1" x14ac:dyDescent="0.2"/>
    <row r="116" spans="2:9" outlineLevel="1" x14ac:dyDescent="0.2">
      <c r="B116" s="137" t="s">
        <v>174</v>
      </c>
      <c r="C116" s="136" t="s">
        <v>1</v>
      </c>
      <c r="D116" s="102"/>
      <c r="E116" s="103"/>
      <c r="F116" s="103"/>
      <c r="G116" s="103"/>
      <c r="H116" s="103"/>
      <c r="I116" s="8"/>
    </row>
    <row r="117" spans="2:9" outlineLevel="1" x14ac:dyDescent="0.2">
      <c r="B117" s="138" t="s">
        <v>204</v>
      </c>
      <c r="C117" s="92">
        <v>44926</v>
      </c>
      <c r="D117" s="92">
        <f>EDATE(C117,12)</f>
        <v>45291</v>
      </c>
      <c r="E117" s="92">
        <f t="shared" ref="E117:I117" si="79">EDATE(D117,12)</f>
        <v>45657</v>
      </c>
      <c r="F117" s="245">
        <f>EDATE(E117,12)</f>
        <v>46022</v>
      </c>
      <c r="G117" s="245">
        <f t="shared" si="79"/>
        <v>46387</v>
      </c>
      <c r="H117" s="245">
        <f t="shared" si="79"/>
        <v>46752</v>
      </c>
      <c r="I117" s="245">
        <f t="shared" si="79"/>
        <v>47118</v>
      </c>
    </row>
    <row r="118" spans="2:9" outlineLevel="1" x14ac:dyDescent="0.2">
      <c r="B118" s="177" t="s">
        <v>223</v>
      </c>
      <c r="C118" s="113"/>
      <c r="D118" s="113"/>
      <c r="E118" s="113"/>
      <c r="F118" s="113"/>
      <c r="G118" s="113"/>
      <c r="H118" s="113"/>
      <c r="I118" s="113"/>
    </row>
    <row r="119" spans="2:9" outlineLevel="1" x14ac:dyDescent="0.2">
      <c r="B119" s="194" t="s">
        <v>30</v>
      </c>
      <c r="C119" s="239">
        <f>_xlfn.XLOOKUP($B121,DATA!$H$6:$H$56,DATA!J$6:J$56)</f>
        <v>57443900</v>
      </c>
      <c r="D119" s="240">
        <f>_xlfn.XLOOKUP($B121,DATA!$H$6:$H$56,DATA!K$6:K$56)</f>
        <v>62400249</v>
      </c>
      <c r="E119" s="240">
        <f>_xlfn.XLOOKUP($B121,DATA!$H$6:$H$56,DATA!L$6:L$56)</f>
        <v>55480410</v>
      </c>
      <c r="F119" s="241">
        <f>E119*(1+F19)</f>
        <v>56867420.249999993</v>
      </c>
      <c r="G119" s="242">
        <f>F119*(1+G19)</f>
        <v>58004768.654999994</v>
      </c>
      <c r="H119" s="242">
        <f>G119*(1+H19)</f>
        <v>59164864.028099991</v>
      </c>
      <c r="I119" s="242">
        <f>H119*(1+I19)</f>
        <v>60348161.30866199</v>
      </c>
    </row>
    <row r="120" spans="2:9" outlineLevel="1" x14ac:dyDescent="0.2">
      <c r="B120" s="194" t="s">
        <v>237</v>
      </c>
      <c r="C120" s="239">
        <v>0</v>
      </c>
      <c r="D120" s="243">
        <v>0</v>
      </c>
      <c r="E120" s="243">
        <v>0</v>
      </c>
      <c r="F120" s="241">
        <f>F210</f>
        <v>-1533418.3462977931</v>
      </c>
      <c r="G120" s="244">
        <f t="shared" ref="G120:I120" si="80">G210</f>
        <v>-1675891.025170885</v>
      </c>
      <c r="H120" s="244">
        <f t="shared" si="80"/>
        <v>-506964.43376750499</v>
      </c>
      <c r="I120" s="244">
        <f t="shared" si="80"/>
        <v>1489623.9181256667</v>
      </c>
    </row>
    <row r="121" spans="2:9" outlineLevel="1" x14ac:dyDescent="0.2">
      <c r="B121" s="126" t="s">
        <v>30</v>
      </c>
      <c r="C121" s="197">
        <f>SUM(C119:C120)</f>
        <v>57443900</v>
      </c>
      <c r="D121" s="198">
        <f t="shared" ref="D121:E121" si="81">SUM(D119:D120)</f>
        <v>62400249</v>
      </c>
      <c r="E121" s="198">
        <f t="shared" si="81"/>
        <v>55480410</v>
      </c>
      <c r="F121" s="195">
        <f>SUM(F119:F120)</f>
        <v>55334001.903702199</v>
      </c>
      <c r="G121" s="196">
        <f t="shared" ref="G121:I121" si="82">SUM(G119:G120)</f>
        <v>56328877.629829109</v>
      </c>
      <c r="H121" s="196">
        <f t="shared" si="82"/>
        <v>58657899.594332486</v>
      </c>
      <c r="I121" s="196">
        <f t="shared" si="82"/>
        <v>61837785.226787657</v>
      </c>
    </row>
    <row r="122" spans="2:9" outlineLevel="1" x14ac:dyDescent="0.2">
      <c r="B122" s="157" t="s">
        <v>31</v>
      </c>
      <c r="C122" s="179">
        <f>_xlfn.XLOOKUP($B122,DATA!$H$6:$H$56,DATA!J$6:J$56)</f>
        <v>127387</v>
      </c>
      <c r="D122" s="180">
        <f>_xlfn.XLOOKUP($B122,DATA!$H$6:$H$56,DATA!K$6:K$56)</f>
        <v>114321</v>
      </c>
      <c r="E122" s="180">
        <f>_xlfn.XLOOKUP($B122,DATA!$H$6:$H$56,DATA!L$6:L$56)</f>
        <v>250635</v>
      </c>
      <c r="F122" s="181">
        <f>F176</f>
        <v>237957.01135933702</v>
      </c>
      <c r="G122" s="182">
        <f t="shared" ref="G122:I122" si="83">G176</f>
        <v>225920.31940897179</v>
      </c>
      <c r="H122" s="182">
        <f t="shared" si="83"/>
        <v>214492.48513537913</v>
      </c>
      <c r="I122" s="182">
        <f t="shared" si="83"/>
        <v>203642.71040298376</v>
      </c>
    </row>
    <row r="123" spans="2:9" ht="24" outlineLevel="1" x14ac:dyDescent="0.2">
      <c r="B123" s="157" t="s">
        <v>32</v>
      </c>
      <c r="C123" s="179">
        <f>_xlfn.XLOOKUP($B123,DATA!$H$6:$H$56,DATA!J$6:J$56)</f>
        <v>354937</v>
      </c>
      <c r="D123" s="180">
        <f>_xlfn.XLOOKUP($B123,DATA!$H$6:$H$56,DATA!K$6:K$56)</f>
        <v>364135</v>
      </c>
      <c r="E123" s="180">
        <f>_xlfn.XLOOKUP($B123,DATA!$H$6:$H$56,DATA!L$6:L$56)</f>
        <v>374973</v>
      </c>
      <c r="F123" s="181">
        <f>F179</f>
        <v>380224.97752896033</v>
      </c>
      <c r="G123" s="182">
        <f t="shared" ref="G123:I123" si="84">G179</f>
        <v>385550.51573552866</v>
      </c>
      <c r="H123" s="182">
        <f t="shared" si="84"/>
        <v>390950.6449312896</v>
      </c>
      <c r="I123" s="182">
        <f t="shared" si="84"/>
        <v>396426.40985866217</v>
      </c>
    </row>
    <row r="124" spans="2:9" ht="12.75" outlineLevel="1" thickBot="1" x14ac:dyDescent="0.25">
      <c r="B124" s="158" t="s">
        <v>33</v>
      </c>
      <c r="C124" s="183">
        <f>_xlfn.XLOOKUP($B124,DATA!$H$6:$H$56,DATA!J$6:J$56)</f>
        <v>0</v>
      </c>
      <c r="D124" s="184">
        <f>_xlfn.XLOOKUP($B124,DATA!$H$6:$H$56,DATA!K$6:K$56)</f>
        <v>0</v>
      </c>
      <c r="E124" s="184">
        <f>_xlfn.XLOOKUP($B124,DATA!$H$6:$H$56,DATA!L$6:L$56)</f>
        <v>0</v>
      </c>
      <c r="F124" s="185">
        <f>E124</f>
        <v>0</v>
      </c>
      <c r="G124" s="186">
        <f t="shared" ref="G124:I124" si="85">F124</f>
        <v>0</v>
      </c>
      <c r="H124" s="186">
        <f t="shared" si="85"/>
        <v>0</v>
      </c>
      <c r="I124" s="186">
        <f t="shared" si="85"/>
        <v>0</v>
      </c>
    </row>
    <row r="125" spans="2:9" ht="12.75" thickTop="1" x14ac:dyDescent="0.2">
      <c r="B125" s="127" t="s">
        <v>229</v>
      </c>
      <c r="C125" s="160">
        <f>SUM(C122:C124)</f>
        <v>482324</v>
      </c>
      <c r="D125" s="161">
        <f t="shared" ref="D125:I125" si="86">SUM(D122:D124)</f>
        <v>478456</v>
      </c>
      <c r="E125" s="161">
        <f t="shared" si="86"/>
        <v>625608</v>
      </c>
      <c r="F125" s="162">
        <f t="shared" si="86"/>
        <v>618181.98888829735</v>
      </c>
      <c r="G125" s="163">
        <f t="shared" si="86"/>
        <v>611470.83514450048</v>
      </c>
      <c r="H125" s="163">
        <f t="shared" si="86"/>
        <v>605443.13006666873</v>
      </c>
      <c r="I125" s="163">
        <f t="shared" si="86"/>
        <v>600069.12026164588</v>
      </c>
    </row>
    <row r="126" spans="2:9" x14ac:dyDescent="0.2">
      <c r="B126" s="126" t="s">
        <v>34</v>
      </c>
      <c r="C126" s="159">
        <f>_xlfn.XLOOKUP($B126,DATA!$H$6:$H$56,DATA!J$6:J$56)</f>
        <v>584519</v>
      </c>
      <c r="D126" s="148">
        <f>_xlfn.XLOOKUP($B126,DATA!$H$6:$H$56,DATA!K$6:K$56)</f>
        <v>2981364</v>
      </c>
      <c r="E126" s="148">
        <f>_xlfn.XLOOKUP($B126,DATA!$H$6:$H$56,DATA!L$6:L$56)</f>
        <v>6051011</v>
      </c>
      <c r="F126" s="155">
        <f>E126*(1+F19)</f>
        <v>6202286.2749999994</v>
      </c>
      <c r="G126" s="149">
        <f>F126*(1+G19)</f>
        <v>6326332.0004999992</v>
      </c>
      <c r="H126" s="149">
        <f>G126*(1+H19)</f>
        <v>6452858.6405099994</v>
      </c>
      <c r="I126" s="149">
        <f>H126*(1+I19)</f>
        <v>6581915.813320199</v>
      </c>
    </row>
    <row r="127" spans="2:9" outlineLevel="1" x14ac:dyDescent="0.2">
      <c r="B127" s="126" t="s">
        <v>35</v>
      </c>
      <c r="C127" s="159">
        <f>_xlfn.XLOOKUP($B127,DATA!$H$6:$H$56,DATA!J$6:J$56)</f>
        <v>59856354</v>
      </c>
      <c r="D127" s="148">
        <f>_xlfn.XLOOKUP($B127,DATA!$H$6:$H$56,DATA!K$6:K$56)</f>
        <v>60206811</v>
      </c>
      <c r="E127" s="148">
        <f>_xlfn.XLOOKUP($B127,DATA!$H$6:$H$56,DATA!L$6:L$56)</f>
        <v>72975118</v>
      </c>
      <c r="F127" s="155">
        <f>E127*(1+F6)*(1+F19)</f>
        <v>86019420.342499986</v>
      </c>
      <c r="G127" s="149">
        <f>F127*(1+G6)*(1+G19)</f>
        <v>98268585.799271986</v>
      </c>
      <c r="H127" s="149">
        <f>G127*(1+H6)*(1+H19)</f>
        <v>110257353.26678318</v>
      </c>
      <c r="I127" s="149">
        <f>H127*(1+I6)*(1+I19)</f>
        <v>122584125.36200954</v>
      </c>
    </row>
    <row r="128" spans="2:9" outlineLevel="1" x14ac:dyDescent="0.2">
      <c r="B128" s="126" t="s">
        <v>36</v>
      </c>
      <c r="C128" s="159">
        <f>_xlfn.XLOOKUP($B128,DATA!$H$6:$H$56,DATA!J$6:J$56)</f>
        <v>27114944</v>
      </c>
      <c r="D128" s="148">
        <f>_xlfn.XLOOKUP($B128,DATA!$H$6:$H$56,DATA!K$6:K$56)</f>
        <v>29887949</v>
      </c>
      <c r="E128" s="148">
        <f>_xlfn.XLOOKUP($B128,DATA!$H$6:$H$56,DATA!L$6:L$56)</f>
        <v>37416023</v>
      </c>
      <c r="F128" s="155">
        <f>F188</f>
        <v>44041373.234283447</v>
      </c>
      <c r="G128" s="149">
        <f t="shared" ref="G128:I128" si="87">G188</f>
        <v>51839891.063822001</v>
      </c>
      <c r="H128" s="149">
        <f t="shared" si="87"/>
        <v>61019312.254709162</v>
      </c>
      <c r="I128" s="149">
        <f t="shared" si="87"/>
        <v>71824156.872817084</v>
      </c>
    </row>
    <row r="129" spans="2:9" ht="24" outlineLevel="1" x14ac:dyDescent="0.2">
      <c r="B129" s="126" t="s">
        <v>37</v>
      </c>
      <c r="C129" s="159">
        <f>_xlfn.XLOOKUP($B129,DATA!$H$6:$H$56,DATA!J$6:J$56)</f>
        <v>385387</v>
      </c>
      <c r="D129" s="148">
        <f>_xlfn.XLOOKUP($B129,DATA!$H$6:$H$56,DATA!K$6:K$56)</f>
        <v>403904</v>
      </c>
      <c r="E129" s="148">
        <f>_xlfn.XLOOKUP($B129,DATA!$H$6:$H$56,DATA!L$6:L$56)</f>
        <v>422412</v>
      </c>
      <c r="F129" s="155">
        <f>E129*(1+F19)</f>
        <v>432972.3</v>
      </c>
      <c r="G129" s="149">
        <f>F129*(1+G19)</f>
        <v>441631.74599999998</v>
      </c>
      <c r="H129" s="149">
        <f>G129*(1+H19)</f>
        <v>450464.38091999997</v>
      </c>
      <c r="I129" s="149">
        <f>H129*(1+I19)</f>
        <v>459473.66853839997</v>
      </c>
    </row>
    <row r="130" spans="2:9" outlineLevel="1" x14ac:dyDescent="0.2">
      <c r="B130" s="157" t="s">
        <v>38</v>
      </c>
      <c r="C130" s="179">
        <f>_xlfn.XLOOKUP($B130,DATA!$H$6:$H$56,DATA!J$6:J$56)</f>
        <v>983</v>
      </c>
      <c r="D130" s="180">
        <f>_xlfn.XLOOKUP($B130,DATA!$H$6:$H$56,DATA!K$6:K$56)</f>
        <v>890</v>
      </c>
      <c r="E130" s="180">
        <f>_xlfn.XLOOKUP($B130,DATA!$H$6:$H$56,DATA!L$6:L$56)</f>
        <v>391</v>
      </c>
      <c r="F130" s="181">
        <f>F182</f>
        <v>262.89227142318288</v>
      </c>
      <c r="G130" s="182">
        <f t="shared" ref="G130:I130" si="88">G182</f>
        <v>176.75791911519298</v>
      </c>
      <c r="H130" s="182">
        <f t="shared" si="88"/>
        <v>118.84473362718239</v>
      </c>
      <c r="I130" s="182">
        <f t="shared" si="88"/>
        <v>79.906296598294375</v>
      </c>
    </row>
    <row r="131" spans="2:9" ht="12.75" outlineLevel="1" thickBot="1" x14ac:dyDescent="0.25">
      <c r="B131" s="158" t="s">
        <v>39</v>
      </c>
      <c r="C131" s="183">
        <f>_xlfn.XLOOKUP($B131,DATA!$H$6:$H$56,DATA!J$6:J$56)</f>
        <v>2368784</v>
      </c>
      <c r="D131" s="184">
        <f>_xlfn.XLOOKUP($B131,DATA!$H$6:$H$56,DATA!K$6:K$56)</f>
        <v>2583333</v>
      </c>
      <c r="E131" s="184">
        <f>_xlfn.XLOOKUP($B131,DATA!$H$6:$H$56,DATA!L$6:L$56)</f>
        <v>2943753</v>
      </c>
      <c r="F131" s="185">
        <f>F185</f>
        <v>3282418.4077534066</v>
      </c>
      <c r="G131" s="186">
        <f t="shared" ref="G131:I131" si="89">G185</f>
        <v>3660045.7319477578</v>
      </c>
      <c r="H131" s="186">
        <f t="shared" si="89"/>
        <v>4081117.3640467152</v>
      </c>
      <c r="I131" s="186">
        <f t="shared" si="89"/>
        <v>4550631.3742861571</v>
      </c>
    </row>
    <row r="132" spans="2:9" ht="12.75" outlineLevel="1" thickTop="1" x14ac:dyDescent="0.2">
      <c r="B132" s="127" t="s">
        <v>224</v>
      </c>
      <c r="C132" s="160">
        <f>SUM(C130:C131)</f>
        <v>2369767</v>
      </c>
      <c r="D132" s="161">
        <f t="shared" ref="D132:I132" si="90">SUM(D130:D131)</f>
        <v>2584223</v>
      </c>
      <c r="E132" s="161">
        <f t="shared" si="90"/>
        <v>2944144</v>
      </c>
      <c r="F132" s="162">
        <f t="shared" si="90"/>
        <v>3282681.3000248298</v>
      </c>
      <c r="G132" s="163">
        <f t="shared" si="90"/>
        <v>3660222.4898668728</v>
      </c>
      <c r="H132" s="163">
        <f t="shared" si="90"/>
        <v>4081236.2087803422</v>
      </c>
      <c r="I132" s="163">
        <f t="shared" si="90"/>
        <v>4550711.2805827558</v>
      </c>
    </row>
    <row r="133" spans="2:9" outlineLevel="1" x14ac:dyDescent="0.2">
      <c r="B133" s="157" t="s">
        <v>40</v>
      </c>
      <c r="C133" s="179">
        <f>_xlfn.XLOOKUP($B133,DATA!$H$6:$H$56,DATA!J$6:J$56)</f>
        <v>0</v>
      </c>
      <c r="D133" s="180">
        <f>_xlfn.XLOOKUP($B133,DATA!$H$6:$H$56,DATA!K$6:K$56)</f>
        <v>0</v>
      </c>
      <c r="E133" s="180">
        <f>_xlfn.XLOOKUP($B133,DATA!$H$6:$H$56,DATA!L$6:L$56)</f>
        <v>0</v>
      </c>
      <c r="F133" s="181">
        <f>E133</f>
        <v>0</v>
      </c>
      <c r="G133" s="182">
        <f t="shared" ref="G133:I133" si="91">F133</f>
        <v>0</v>
      </c>
      <c r="H133" s="182">
        <f t="shared" si="91"/>
        <v>0</v>
      </c>
      <c r="I133" s="182">
        <f t="shared" si="91"/>
        <v>0</v>
      </c>
    </row>
    <row r="134" spans="2:9" outlineLevel="1" x14ac:dyDescent="0.2">
      <c r="B134" s="157" t="s">
        <v>41</v>
      </c>
      <c r="C134" s="179">
        <f>_xlfn.XLOOKUP($B134,DATA!$H$6:$H$56,DATA!J$6:J$56)</f>
        <v>15976</v>
      </c>
      <c r="D134" s="180">
        <f>_xlfn.XLOOKUP($B134,DATA!$H$6:$H$56,DATA!K$6:K$56)</f>
        <v>1962658</v>
      </c>
      <c r="E134" s="180">
        <f>_xlfn.XLOOKUP($B134,DATA!$H$6:$H$56,DATA!L$6:L$56)</f>
        <v>10491</v>
      </c>
      <c r="F134" s="181">
        <f>E134*(1+F19)</f>
        <v>10753.275</v>
      </c>
      <c r="G134" s="182">
        <f>F134*(1+G19)</f>
        <v>10968.3405</v>
      </c>
      <c r="H134" s="182">
        <f>G134*(1+H19)</f>
        <v>11187.70731</v>
      </c>
      <c r="I134" s="182">
        <f>H134*(1+I19)</f>
        <v>11411.461456200001</v>
      </c>
    </row>
    <row r="135" spans="2:9" ht="12.75" outlineLevel="1" thickBot="1" x14ac:dyDescent="0.25">
      <c r="B135" s="167" t="s">
        <v>225</v>
      </c>
      <c r="C135" s="168">
        <f>SUM(C133:C134)</f>
        <v>15976</v>
      </c>
      <c r="D135" s="150">
        <f t="shared" ref="D135:I135" si="92">SUM(D133:D134)</f>
        <v>1962658</v>
      </c>
      <c r="E135" s="150">
        <f t="shared" si="92"/>
        <v>10491</v>
      </c>
      <c r="F135" s="169">
        <f t="shared" si="92"/>
        <v>10753.275</v>
      </c>
      <c r="G135" s="151">
        <f t="shared" si="92"/>
        <v>10968.3405</v>
      </c>
      <c r="H135" s="151">
        <f t="shared" si="92"/>
        <v>11187.70731</v>
      </c>
      <c r="I135" s="151">
        <f t="shared" si="92"/>
        <v>11411.461456200001</v>
      </c>
    </row>
    <row r="136" spans="2:9" ht="12.75" outlineLevel="1" thickTop="1" x14ac:dyDescent="0.2">
      <c r="B136" s="157" t="s">
        <v>42</v>
      </c>
      <c r="C136" s="179">
        <f>_xlfn.XLOOKUP($B136,DATA!$H$6:$H$56,DATA!J$6:J$56)</f>
        <v>82238</v>
      </c>
      <c r="D136" s="180">
        <f>_xlfn.XLOOKUP($B136,DATA!$H$6:$H$56,DATA!K$6:K$56)</f>
        <v>71672</v>
      </c>
      <c r="E136" s="180">
        <f>_xlfn.XLOOKUP($B136,DATA!$H$6:$H$56,DATA!L$6:L$56)</f>
        <v>86159</v>
      </c>
      <c r="F136" s="181">
        <f t="shared" ref="F136:I137" si="93">E136*(1+F$19)</f>
        <v>88312.974999999991</v>
      </c>
      <c r="G136" s="182">
        <f t="shared" si="93"/>
        <v>90079.234499999991</v>
      </c>
      <c r="H136" s="182">
        <f t="shared" si="93"/>
        <v>91880.819189999995</v>
      </c>
      <c r="I136" s="182">
        <f t="shared" si="93"/>
        <v>93718.435573800001</v>
      </c>
    </row>
    <row r="137" spans="2:9" ht="12.75" outlineLevel="1" thickBot="1" x14ac:dyDescent="0.25">
      <c r="B137" s="158" t="s">
        <v>43</v>
      </c>
      <c r="C137" s="183">
        <f>_xlfn.XLOOKUP($B137,DATA!$H$6:$H$56,DATA!J$6:J$56)</f>
        <v>2708886</v>
      </c>
      <c r="D137" s="184">
        <f>_xlfn.XLOOKUP($B137,DATA!$H$6:$H$56,DATA!K$6:K$56)</f>
        <v>2698598</v>
      </c>
      <c r="E137" s="184">
        <f>_xlfn.XLOOKUP($B137,DATA!$H$6:$H$56,DATA!L$6:L$56)</f>
        <v>2708412</v>
      </c>
      <c r="F137" s="185">
        <f t="shared" si="93"/>
        <v>2776122.3</v>
      </c>
      <c r="G137" s="186">
        <f t="shared" si="93"/>
        <v>2831644.7459999998</v>
      </c>
      <c r="H137" s="186">
        <f t="shared" si="93"/>
        <v>2888277.6409199997</v>
      </c>
      <c r="I137" s="186">
        <f t="shared" si="93"/>
        <v>2946043.1937383995</v>
      </c>
    </row>
    <row r="138" spans="2:9" ht="12.75" outlineLevel="1" thickTop="1" x14ac:dyDescent="0.2">
      <c r="B138" s="127" t="s">
        <v>226</v>
      </c>
      <c r="C138" s="160">
        <f>SUM(C136:C137)</f>
        <v>2791124</v>
      </c>
      <c r="D138" s="161">
        <f t="shared" ref="D138:I138" si="94">SUM(D136:D137)</f>
        <v>2770270</v>
      </c>
      <c r="E138" s="161">
        <f t="shared" si="94"/>
        <v>2794571</v>
      </c>
      <c r="F138" s="162">
        <f t="shared" si="94"/>
        <v>2864435.2749999999</v>
      </c>
      <c r="G138" s="163">
        <f t="shared" si="94"/>
        <v>2921723.9804999996</v>
      </c>
      <c r="H138" s="163">
        <f t="shared" si="94"/>
        <v>2980158.4601099999</v>
      </c>
      <c r="I138" s="163">
        <f t="shared" si="94"/>
        <v>3039761.6293121995</v>
      </c>
    </row>
    <row r="139" spans="2:9" outlineLevel="1" x14ac:dyDescent="0.2">
      <c r="B139" s="126" t="s">
        <v>44</v>
      </c>
      <c r="C139" s="159">
        <f>_xlfn.XLOOKUP($B139,DATA!$H$6:$H$56,DATA!J$6:J$56)</f>
        <v>0</v>
      </c>
      <c r="D139" s="148">
        <f>_xlfn.XLOOKUP($B139,DATA!$H$6:$H$56,DATA!K$6:K$56)</f>
        <v>0</v>
      </c>
      <c r="E139" s="148">
        <f>_xlfn.XLOOKUP($B139,DATA!$H$6:$H$56,DATA!L$6:L$56)</f>
        <v>0</v>
      </c>
      <c r="F139" s="170">
        <f>E139</f>
        <v>0</v>
      </c>
      <c r="G139" s="171">
        <f t="shared" ref="G139:I139" si="95">F139</f>
        <v>0</v>
      </c>
      <c r="H139" s="171">
        <f t="shared" si="95"/>
        <v>0</v>
      </c>
      <c r="I139" s="171">
        <f t="shared" si="95"/>
        <v>0</v>
      </c>
    </row>
    <row r="140" spans="2:9" ht="12.75" outlineLevel="1" thickBot="1" x14ac:dyDescent="0.25">
      <c r="B140" s="167" t="str">
        <f>DATA!H25</f>
        <v>Нетековни средства кои се чуваат за продажба и група за отуѓување</v>
      </c>
      <c r="C140" s="168">
        <f>_xlfn.XLOOKUP($B140,DATA!$H$6:$H$56,DATA!J$6:J$56)</f>
        <v>5453</v>
      </c>
      <c r="D140" s="150">
        <f>_xlfn.XLOOKUP($B140,DATA!$H$6:$H$56,DATA!K$6:K$56)</f>
        <v>5453</v>
      </c>
      <c r="E140" s="150">
        <f>_xlfn.XLOOKUP($B140,DATA!$H$6:$H$56,DATA!L$6:L$56)</f>
        <v>0</v>
      </c>
      <c r="F140" s="169">
        <f>E140</f>
        <v>0</v>
      </c>
      <c r="G140" s="151">
        <f t="shared" ref="G140:I140" si="96">F140</f>
        <v>0</v>
      </c>
      <c r="H140" s="151">
        <f t="shared" si="96"/>
        <v>0</v>
      </c>
      <c r="I140" s="151">
        <f t="shared" si="96"/>
        <v>0</v>
      </c>
    </row>
    <row r="141" spans="2:9" ht="13.5" outlineLevel="1" thickTop="1" thickBot="1" x14ac:dyDescent="0.25">
      <c r="B141" s="172" t="s">
        <v>234</v>
      </c>
      <c r="C141" s="173">
        <f>SUM(C121,C125:C129,C132,C135,C138,C139,C140)</f>
        <v>151049748</v>
      </c>
      <c r="D141" s="174">
        <f t="shared" ref="D141:I141" si="97">SUM(D121,D125:D129,D132,D135,D138,D139,D140)</f>
        <v>163681337</v>
      </c>
      <c r="E141" s="174">
        <f t="shared" si="97"/>
        <v>178719788</v>
      </c>
      <c r="F141" s="175">
        <f t="shared" si="97"/>
        <v>198806105.89439878</v>
      </c>
      <c r="G141" s="176">
        <f t="shared" si="97"/>
        <v>220409703.88543448</v>
      </c>
      <c r="H141" s="176">
        <f t="shared" si="97"/>
        <v>244515913.64352185</v>
      </c>
      <c r="I141" s="176">
        <f t="shared" si="97"/>
        <v>271489410.43508571</v>
      </c>
    </row>
    <row r="142" spans="2:9" ht="12.75" outlineLevel="1" thickBot="1" x14ac:dyDescent="0.25">
      <c r="B142" s="152" t="s">
        <v>227</v>
      </c>
      <c r="C142" s="178"/>
      <c r="D142" s="178"/>
      <c r="E142" s="178"/>
      <c r="F142" s="153"/>
      <c r="G142" s="153"/>
      <c r="H142" s="153"/>
      <c r="I142" s="153"/>
    </row>
    <row r="143" spans="2:9" outlineLevel="1" x14ac:dyDescent="0.2">
      <c r="B143" s="157" t="s">
        <v>48</v>
      </c>
      <c r="C143" s="187">
        <f>_xlfn.XLOOKUP($B143,DATA!$H$6:$H$60,DATA!J$6:J$60)</f>
        <v>0</v>
      </c>
      <c r="D143" s="180">
        <f>_xlfn.XLOOKUP($B143,DATA!$H$6:$H$60,DATA!K$6:K$60)</f>
        <v>599</v>
      </c>
      <c r="E143" s="180">
        <f>_xlfn.XLOOKUP($B143,DATA!$H$6:$H$60,DATA!L$6:L$60)</f>
        <v>1647</v>
      </c>
      <c r="F143" s="188">
        <f>E143</f>
        <v>1647</v>
      </c>
      <c r="G143" s="182">
        <f t="shared" ref="G143:I143" si="98">F143</f>
        <v>1647</v>
      </c>
      <c r="H143" s="182">
        <f t="shared" si="98"/>
        <v>1647</v>
      </c>
      <c r="I143" s="182">
        <f t="shared" si="98"/>
        <v>1647</v>
      </c>
    </row>
    <row r="144" spans="2:9" ht="24" outlineLevel="1" x14ac:dyDescent="0.2">
      <c r="B144" s="157" t="s">
        <v>49</v>
      </c>
      <c r="C144" s="179">
        <f>_xlfn.XLOOKUP($B144,DATA!$H$6:$H$60,DATA!J$6:J$60)</f>
        <v>0</v>
      </c>
      <c r="D144" s="180">
        <f>_xlfn.XLOOKUP($B144,DATA!$H$6:$H$60,DATA!K$6:K$60)</f>
        <v>0</v>
      </c>
      <c r="E144" s="180">
        <f>_xlfn.XLOOKUP($B144,DATA!$H$6:$H$60,DATA!L$6:L$60)</f>
        <v>0</v>
      </c>
      <c r="F144" s="181">
        <f>E144</f>
        <v>0</v>
      </c>
      <c r="G144" s="182">
        <f t="shared" ref="G144:I144" si="99">F144</f>
        <v>0</v>
      </c>
      <c r="H144" s="182">
        <f t="shared" si="99"/>
        <v>0</v>
      </c>
      <c r="I144" s="182">
        <f t="shared" si="99"/>
        <v>0</v>
      </c>
    </row>
    <row r="145" spans="2:10" ht="12.75" outlineLevel="1" thickBot="1" x14ac:dyDescent="0.25">
      <c r="B145" s="158" t="s">
        <v>50</v>
      </c>
      <c r="C145" s="183">
        <f>_xlfn.XLOOKUP($B145,DATA!$H$6:$H$60,DATA!J$6:J$60)</f>
        <v>0</v>
      </c>
      <c r="D145" s="184">
        <f>_xlfn.XLOOKUP($B145,DATA!$H$6:$H$60,DATA!K$6:K$60)</f>
        <v>0</v>
      </c>
      <c r="E145" s="184">
        <f>_xlfn.XLOOKUP($B145,DATA!$H$6:$H$60,DATA!L$6:L$60)</f>
        <v>0</v>
      </c>
      <c r="F145" s="185">
        <f>E145</f>
        <v>0</v>
      </c>
      <c r="G145" s="186">
        <f t="shared" ref="G145:I145" si="100">F145</f>
        <v>0</v>
      </c>
      <c r="H145" s="186">
        <f t="shared" si="100"/>
        <v>0</v>
      </c>
      <c r="I145" s="186">
        <f t="shared" si="100"/>
        <v>0</v>
      </c>
    </row>
    <row r="146" spans="2:10" ht="12.75" outlineLevel="1" thickTop="1" x14ac:dyDescent="0.2">
      <c r="B146" s="127" t="s">
        <v>228</v>
      </c>
      <c r="C146" s="160">
        <f>SUM(C143:C145)</f>
        <v>0</v>
      </c>
      <c r="D146" s="161">
        <f t="shared" ref="D146:I146" si="101">SUM(D143:D145)</f>
        <v>599</v>
      </c>
      <c r="E146" s="161">
        <f t="shared" si="101"/>
        <v>1647</v>
      </c>
      <c r="F146" s="162">
        <f t="shared" si="101"/>
        <v>1647</v>
      </c>
      <c r="G146" s="163">
        <f t="shared" si="101"/>
        <v>1647</v>
      </c>
      <c r="H146" s="163">
        <f t="shared" si="101"/>
        <v>1647</v>
      </c>
      <c r="I146" s="163">
        <f t="shared" si="101"/>
        <v>1647</v>
      </c>
    </row>
    <row r="147" spans="2:10" outlineLevel="1" x14ac:dyDescent="0.2">
      <c r="B147" s="126" t="s">
        <v>51</v>
      </c>
      <c r="C147" s="159">
        <f>_xlfn.XLOOKUP($B147,DATA!$H$6:$H$60,DATA!J$6:J$60)</f>
        <v>260358</v>
      </c>
      <c r="D147" s="148">
        <f>_xlfn.XLOOKUP($B147,DATA!$H$6:$H$60,DATA!K$6:K$60)</f>
        <v>521458</v>
      </c>
      <c r="E147" s="148">
        <f>_xlfn.XLOOKUP($B147,DATA!$H$6:$H$60,DATA!L$6:L$60)</f>
        <v>1233413</v>
      </c>
      <c r="F147" s="155">
        <f>E147*(1+F$19)</f>
        <v>1264248.325</v>
      </c>
      <c r="G147" s="149">
        <f>F147*(1+G$19)</f>
        <v>1289533.2915000001</v>
      </c>
      <c r="H147" s="149">
        <f>G147*(1+H$19)</f>
        <v>1315323.9573300001</v>
      </c>
      <c r="I147" s="149">
        <f>H147*(1+I$19)</f>
        <v>1341630.4364766001</v>
      </c>
    </row>
    <row r="148" spans="2:10" outlineLevel="1" x14ac:dyDescent="0.2">
      <c r="B148" s="126" t="s">
        <v>52</v>
      </c>
      <c r="C148" s="159">
        <f>_xlfn.XLOOKUP($B148,DATA!$H$6:$H$60,DATA!J$6:J$60)</f>
        <v>133174137</v>
      </c>
      <c r="D148" s="148">
        <f>_xlfn.XLOOKUP($B148,DATA!$H$6:$H$60,DATA!K$6:K$60)</f>
        <v>142515749</v>
      </c>
      <c r="E148" s="148">
        <f>_xlfn.XLOOKUP($B148,DATA!$H$6:$H$60,DATA!L$6:L$60)</f>
        <v>153366826</v>
      </c>
      <c r="F148" s="155">
        <f>E148*(1+F7)*(1+F19)</f>
        <v>168991071.39874998</v>
      </c>
      <c r="G148" s="149">
        <f>F148*(1+G7)*(1+G19)</f>
        <v>185040153.44948924</v>
      </c>
      <c r="H148" s="149">
        <f>G148*(1+H7)*(1+H19)</f>
        <v>202235934.90955025</v>
      </c>
      <c r="I148" s="149">
        <f>H148*(1+I7)*(1+I19)</f>
        <v>220720299.36028317</v>
      </c>
    </row>
    <row r="149" spans="2:10" outlineLevel="1" x14ac:dyDescent="0.2">
      <c r="B149" s="157" t="s">
        <v>54</v>
      </c>
      <c r="C149" s="179">
        <f>_xlfn.XLOOKUP($B149,DATA!$H$6:$H$60,DATA!J$6:J$60)</f>
        <v>0</v>
      </c>
      <c r="D149" s="180">
        <f>_xlfn.XLOOKUP($B149,DATA!$H$6:$H$60,DATA!K$6:K$60)</f>
        <v>0</v>
      </c>
      <c r="E149" s="180">
        <f>_xlfn.XLOOKUP($B149,DATA!$H$6:$H$60,DATA!L$6:L$60)</f>
        <v>0</v>
      </c>
      <c r="F149" s="181">
        <f>E149</f>
        <v>0</v>
      </c>
      <c r="G149" s="182">
        <f t="shared" ref="G149:I149" si="102">F149</f>
        <v>0</v>
      </c>
      <c r="H149" s="182">
        <f t="shared" si="102"/>
        <v>0</v>
      </c>
      <c r="I149" s="182">
        <f t="shared" si="102"/>
        <v>0</v>
      </c>
    </row>
    <row r="150" spans="2:10" outlineLevel="1" x14ac:dyDescent="0.2">
      <c r="B150" s="157" t="s">
        <v>56</v>
      </c>
      <c r="C150" s="179">
        <f>_xlfn.XLOOKUP($B150,DATA!$H$6:$H$60,DATA!J$6:J$60)</f>
        <v>698159</v>
      </c>
      <c r="D150" s="180">
        <f>_xlfn.XLOOKUP($B150,DATA!$H$6:$H$60,DATA!K$6:K$60)</f>
        <v>876461</v>
      </c>
      <c r="E150" s="180">
        <f>_xlfn.XLOOKUP($B150,DATA!$H$6:$H$60,DATA!L$6:L$60)</f>
        <v>1456825</v>
      </c>
      <c r="F150" s="181">
        <f>E150*(1+F$19)</f>
        <v>1493245.6249999998</v>
      </c>
      <c r="G150" s="182">
        <f>F150*(1+G$19)</f>
        <v>1523110.5374999999</v>
      </c>
      <c r="H150" s="182">
        <f>G150*(1+H$19)</f>
        <v>1553572.7482499999</v>
      </c>
      <c r="I150" s="182">
        <f>H150*(1+I$19)</f>
        <v>1584644.203215</v>
      </c>
    </row>
    <row r="151" spans="2:10" ht="12.75" outlineLevel="1" thickBot="1" x14ac:dyDescent="0.25">
      <c r="B151" s="158" t="s">
        <v>57</v>
      </c>
      <c r="C151" s="183">
        <f>_xlfn.XLOOKUP($B151,DATA!$H$6:$H$60,DATA!J$6:J$60)</f>
        <v>0</v>
      </c>
      <c r="D151" s="184">
        <f>_xlfn.XLOOKUP($B151,DATA!$H$6:$H$60,DATA!K$6:K$60)</f>
        <v>0</v>
      </c>
      <c r="E151" s="184">
        <f>_xlfn.XLOOKUP($B151,DATA!$H$6:$H$60,DATA!L$6:L$60)</f>
        <v>0</v>
      </c>
      <c r="F151" s="185">
        <f>E151</f>
        <v>0</v>
      </c>
      <c r="G151" s="186">
        <f t="shared" ref="G151:I151" si="103">F151</f>
        <v>0</v>
      </c>
      <c r="H151" s="186">
        <f t="shared" si="103"/>
        <v>0</v>
      </c>
      <c r="I151" s="186">
        <f t="shared" si="103"/>
        <v>0</v>
      </c>
    </row>
    <row r="152" spans="2:10" ht="12.75" outlineLevel="1" thickTop="1" x14ac:dyDescent="0.2">
      <c r="B152" s="145" t="s">
        <v>230</v>
      </c>
      <c r="C152" s="156">
        <f>SUM(C149:C151)</f>
        <v>698159</v>
      </c>
      <c r="D152" s="146">
        <f t="shared" ref="D152:I152" si="104">SUM(D149:D151)</f>
        <v>876461</v>
      </c>
      <c r="E152" s="146">
        <f t="shared" si="104"/>
        <v>1456825</v>
      </c>
      <c r="F152" s="154">
        <f t="shared" si="104"/>
        <v>1493245.6249999998</v>
      </c>
      <c r="G152" s="144">
        <f t="shared" si="104"/>
        <v>1523110.5374999999</v>
      </c>
      <c r="H152" s="144">
        <f t="shared" si="104"/>
        <v>1553572.7482499999</v>
      </c>
      <c r="I152" s="144">
        <f t="shared" si="104"/>
        <v>1584644.203215</v>
      </c>
    </row>
    <row r="153" spans="2:10" ht="12.75" outlineLevel="1" thickBot="1" x14ac:dyDescent="0.25">
      <c r="B153" s="158" t="s">
        <v>58</v>
      </c>
      <c r="C153" s="190">
        <f>_xlfn.XLOOKUP($B153,DATA!$H$6:$H$60,DATA!J$6:J$60)</f>
        <v>446880</v>
      </c>
      <c r="D153" s="191">
        <f>_xlfn.XLOOKUP($B153,DATA!$H$6:$H$60,DATA!K$6:K$60)</f>
        <v>489670</v>
      </c>
      <c r="E153" s="191">
        <f>_xlfn.XLOOKUP($B153,DATA!$H$6:$H$60,DATA!L$6:L$60)</f>
        <v>278963</v>
      </c>
      <c r="F153" s="192">
        <f>F215</f>
        <v>352537.20238092181</v>
      </c>
      <c r="G153" s="193">
        <f t="shared" ref="G153:I153" si="105">G215</f>
        <v>399836.44910554017</v>
      </c>
      <c r="H153" s="193">
        <f t="shared" si="105"/>
        <v>446149.752636155</v>
      </c>
      <c r="I153" s="193">
        <f t="shared" si="105"/>
        <v>493764.82466795749</v>
      </c>
      <c r="J153" s="101"/>
    </row>
    <row r="154" spans="2:10" ht="12.75" outlineLevel="1" thickTop="1" x14ac:dyDescent="0.2">
      <c r="B154" s="164" t="s">
        <v>107</v>
      </c>
      <c r="C154" s="160">
        <f>SUM(C153)</f>
        <v>446880</v>
      </c>
      <c r="D154" s="161">
        <f t="shared" ref="D154:I154" si="106">SUM(D153)</f>
        <v>489670</v>
      </c>
      <c r="E154" s="161">
        <f t="shared" si="106"/>
        <v>278963</v>
      </c>
      <c r="F154" s="162">
        <f t="shared" si="106"/>
        <v>352537.20238092181</v>
      </c>
      <c r="G154" s="163">
        <f t="shared" si="106"/>
        <v>399836.44910554017</v>
      </c>
      <c r="H154" s="163">
        <f t="shared" si="106"/>
        <v>446149.752636155</v>
      </c>
      <c r="I154" s="163">
        <f t="shared" si="106"/>
        <v>493764.82466795749</v>
      </c>
    </row>
    <row r="155" spans="2:10" outlineLevel="1" x14ac:dyDescent="0.2">
      <c r="B155" s="157" t="s">
        <v>59</v>
      </c>
      <c r="C155" s="179">
        <f>_xlfn.XLOOKUP($B155,DATA!$H$6:$H$60,DATA!J$6:J$60)</f>
        <v>33554</v>
      </c>
      <c r="D155" s="180">
        <f>_xlfn.XLOOKUP($B155,DATA!$H$6:$H$60,DATA!K$6:K$60)</f>
        <v>229888</v>
      </c>
      <c r="E155" s="180">
        <f>_xlfn.XLOOKUP($B155,DATA!$H$6:$H$60,DATA!L$6:L$60)</f>
        <v>262671</v>
      </c>
      <c r="F155" s="181">
        <f>F197</f>
        <v>300128.99429722299</v>
      </c>
      <c r="G155" s="182">
        <f t="shared" ref="G155:I155" si="107">G197</f>
        <v>342928.65682874207</v>
      </c>
      <c r="H155" s="182">
        <f t="shared" si="107"/>
        <v>391831.73205153167</v>
      </c>
      <c r="I155" s="182">
        <f t="shared" si="107"/>
        <v>447708.59240024653</v>
      </c>
    </row>
    <row r="156" spans="2:10" ht="12.75" outlineLevel="1" thickBot="1" x14ac:dyDescent="0.25">
      <c r="B156" s="158" t="s">
        <v>61</v>
      </c>
      <c r="C156" s="183">
        <f>_xlfn.XLOOKUP($B156,DATA!$H$6:$H$60,DATA!J$6:J$60)</f>
        <v>0</v>
      </c>
      <c r="D156" s="184">
        <f>_xlfn.XLOOKUP($B156,DATA!$H$6:$H$60,DATA!K$6:K$60)</f>
        <v>0</v>
      </c>
      <c r="E156" s="184">
        <f>_xlfn.XLOOKUP($B156,DATA!$H$6:$H$60,DATA!L$6:L$60)</f>
        <v>0</v>
      </c>
      <c r="F156" s="185">
        <f>E156</f>
        <v>0</v>
      </c>
      <c r="G156" s="186">
        <f t="shared" ref="G156:I156" si="108">F156</f>
        <v>0</v>
      </c>
      <c r="H156" s="186">
        <f t="shared" si="108"/>
        <v>0</v>
      </c>
      <c r="I156" s="186">
        <f t="shared" si="108"/>
        <v>0</v>
      </c>
    </row>
    <row r="157" spans="2:10" ht="12.75" outlineLevel="1" thickTop="1" x14ac:dyDescent="0.2">
      <c r="B157" s="127" t="s">
        <v>231</v>
      </c>
      <c r="C157" s="160">
        <f>SUM(C155:C156)</f>
        <v>33554</v>
      </c>
      <c r="D157" s="161">
        <f t="shared" ref="D157:I157" si="109">SUM(D155:D156)</f>
        <v>229888</v>
      </c>
      <c r="E157" s="161">
        <f t="shared" si="109"/>
        <v>262671</v>
      </c>
      <c r="F157" s="162">
        <f t="shared" si="109"/>
        <v>300128.99429722299</v>
      </c>
      <c r="G157" s="163">
        <f t="shared" si="109"/>
        <v>342928.65682874207</v>
      </c>
      <c r="H157" s="163">
        <f t="shared" si="109"/>
        <v>391831.73205153167</v>
      </c>
      <c r="I157" s="163">
        <f t="shared" si="109"/>
        <v>447708.59240024653</v>
      </c>
    </row>
    <row r="158" spans="2:10" outlineLevel="1" x14ac:dyDescent="0.2">
      <c r="B158" s="126" t="s">
        <v>62</v>
      </c>
      <c r="C158" s="159">
        <f>_xlfn.XLOOKUP($B158,DATA!$H$6:$H$60,DATA!J$6:J$60)</f>
        <v>764099</v>
      </c>
      <c r="D158" s="148">
        <f>_xlfn.XLOOKUP($B158,DATA!$H$6:$H$60,DATA!K$6:K$60)</f>
        <v>945153</v>
      </c>
      <c r="E158" s="148">
        <f>_xlfn.XLOOKUP($B158,DATA!$H$6:$H$60,DATA!L$6:L$60)</f>
        <v>1134283</v>
      </c>
      <c r="F158" s="155">
        <f>F202</f>
        <v>1382155.6743535805</v>
      </c>
      <c r="G158" s="149">
        <f>G202</f>
        <v>1684195.485736629</v>
      </c>
      <c r="H158" s="149">
        <f>H202</f>
        <v>2052239.4740391653</v>
      </c>
      <c r="I158" s="149">
        <f>I202</f>
        <v>2500711.4046279807</v>
      </c>
    </row>
    <row r="159" spans="2:10" ht="12.75" outlineLevel="1" thickBot="1" x14ac:dyDescent="0.25">
      <c r="B159" s="167" t="s">
        <v>63</v>
      </c>
      <c r="C159" s="168">
        <f>_xlfn.XLOOKUP($B159,DATA!$H$6:$H$60,DATA!J$6:J$60)</f>
        <v>0</v>
      </c>
      <c r="D159" s="150">
        <f>_xlfn.XLOOKUP($B159,DATA!$H$6:$H$60,DATA!K$6:K$60)</f>
        <v>0</v>
      </c>
      <c r="E159" s="150">
        <f>_xlfn.XLOOKUP($B159,DATA!$H$6:$H$60,DATA!L$6:L$60)</f>
        <v>0</v>
      </c>
      <c r="F159" s="169">
        <f>E159</f>
        <v>0</v>
      </c>
      <c r="G159" s="151">
        <f t="shared" ref="G159:I159" si="110">F159</f>
        <v>0</v>
      </c>
      <c r="H159" s="151">
        <f t="shared" si="110"/>
        <v>0</v>
      </c>
      <c r="I159" s="151">
        <f t="shared" si="110"/>
        <v>0</v>
      </c>
    </row>
    <row r="160" spans="2:10" ht="13.5" outlineLevel="1" thickTop="1" thickBot="1" x14ac:dyDescent="0.25">
      <c r="B160" s="172" t="s">
        <v>235</v>
      </c>
      <c r="C160" s="173">
        <f>SUM(C146:C148,C152,C154,C157,C158,C159)</f>
        <v>135377187</v>
      </c>
      <c r="D160" s="174">
        <f t="shared" ref="D160:I160" si="111">SUM(D146:D148,D152,D154,D157,D158,D159)</f>
        <v>145578978</v>
      </c>
      <c r="E160" s="174">
        <f t="shared" si="111"/>
        <v>157734628</v>
      </c>
      <c r="F160" s="175">
        <f t="shared" si="111"/>
        <v>173785034.2197817</v>
      </c>
      <c r="G160" s="176">
        <f t="shared" si="111"/>
        <v>190281404.87016013</v>
      </c>
      <c r="H160" s="176">
        <f t="shared" si="111"/>
        <v>207996699.5738571</v>
      </c>
      <c r="I160" s="176">
        <f t="shared" si="111"/>
        <v>227090405.82167095</v>
      </c>
    </row>
    <row r="161" spans="2:9" outlineLevel="1" x14ac:dyDescent="0.2">
      <c r="B161" s="165" t="s">
        <v>233</v>
      </c>
      <c r="C161" s="388"/>
      <c r="D161" s="388"/>
      <c r="E161" s="388"/>
      <c r="F161" s="389"/>
      <c r="G161" s="389"/>
      <c r="H161" s="389"/>
      <c r="I161" s="389"/>
    </row>
    <row r="162" spans="2:9" outlineLevel="1" x14ac:dyDescent="0.2">
      <c r="B162" s="126" t="s">
        <v>66</v>
      </c>
      <c r="C162" s="390">
        <f>_xlfn.XLOOKUP($B162,DATA!$H$6:$H$60,DATA!J$6:J$60)</f>
        <v>2279067</v>
      </c>
      <c r="D162" s="391">
        <f>_xlfn.XLOOKUP($B162,DATA!$H$6:$H$60,DATA!K$6:K$60)</f>
        <v>2279067</v>
      </c>
      <c r="E162" s="391">
        <f>_xlfn.XLOOKUP($B162,DATA!$H$6:$H$60,DATA!L$6:L$60)</f>
        <v>2279067</v>
      </c>
      <c r="F162" s="392">
        <f>E162</f>
        <v>2279067</v>
      </c>
      <c r="G162" s="393">
        <f t="shared" ref="G162:I162" si="112">F162</f>
        <v>2279067</v>
      </c>
      <c r="H162" s="393">
        <f t="shared" si="112"/>
        <v>2279067</v>
      </c>
      <c r="I162" s="393">
        <f t="shared" si="112"/>
        <v>2279067</v>
      </c>
    </row>
    <row r="163" spans="2:9" outlineLevel="1" x14ac:dyDescent="0.2">
      <c r="B163" s="126" t="s">
        <v>67</v>
      </c>
      <c r="C163" s="390">
        <f>_xlfn.XLOOKUP($B163,DATA!$H$6:$H$60,DATA!J$6:J$60)</f>
        <v>771527</v>
      </c>
      <c r="D163" s="391">
        <f>_xlfn.XLOOKUP($B163,DATA!$H$6:$H$60,DATA!K$6:K$60)</f>
        <v>771527</v>
      </c>
      <c r="E163" s="391">
        <f>_xlfn.XLOOKUP($B163,DATA!$H$6:$H$60,DATA!L$6:L$60)</f>
        <v>771527</v>
      </c>
      <c r="F163" s="392">
        <f>E163</f>
        <v>771527</v>
      </c>
      <c r="G163" s="393">
        <f t="shared" ref="G163:I163" si="113">F163</f>
        <v>771527</v>
      </c>
      <c r="H163" s="393">
        <f t="shared" si="113"/>
        <v>771527</v>
      </c>
      <c r="I163" s="393">
        <f t="shared" si="113"/>
        <v>771527</v>
      </c>
    </row>
    <row r="164" spans="2:9" outlineLevel="1" x14ac:dyDescent="0.2">
      <c r="B164" s="126" t="s">
        <v>68</v>
      </c>
      <c r="C164" s="390">
        <f>_xlfn.XLOOKUP($B164,DATA!$H$6:$H$60,DATA!J$6:J$60)</f>
        <v>0</v>
      </c>
      <c r="D164" s="391">
        <f>_xlfn.XLOOKUP($B164,DATA!$H$6:$H$60,DATA!K$6:K$60)</f>
        <v>0</v>
      </c>
      <c r="E164" s="391">
        <f>_xlfn.XLOOKUP($B164,DATA!$H$6:$H$60,DATA!L$6:L$60)</f>
        <v>0</v>
      </c>
      <c r="F164" s="392">
        <f>E164</f>
        <v>0</v>
      </c>
      <c r="G164" s="393">
        <f t="shared" ref="G164:I164" si="114">F164</f>
        <v>0</v>
      </c>
      <c r="H164" s="393">
        <f t="shared" si="114"/>
        <v>0</v>
      </c>
      <c r="I164" s="393">
        <f t="shared" si="114"/>
        <v>0</v>
      </c>
    </row>
    <row r="165" spans="2:9" outlineLevel="1" x14ac:dyDescent="0.2">
      <c r="B165" s="126" t="s">
        <v>69</v>
      </c>
      <c r="C165" s="390">
        <f>_xlfn.XLOOKUP($B165,DATA!$H$6:$H$60,DATA!J$6:J$60)</f>
        <v>0</v>
      </c>
      <c r="D165" s="391">
        <f>_xlfn.XLOOKUP($B165,DATA!$H$6:$H$60,DATA!K$6:K$60)</f>
        <v>0</v>
      </c>
      <c r="E165" s="391">
        <f>_xlfn.XLOOKUP($B165,DATA!$H$6:$H$60,DATA!L$6:L$60)</f>
        <v>0</v>
      </c>
      <c r="F165" s="392">
        <f>E165</f>
        <v>0</v>
      </c>
      <c r="G165" s="393">
        <f t="shared" ref="G165:I165" si="115">F165</f>
        <v>0</v>
      </c>
      <c r="H165" s="393">
        <f t="shared" si="115"/>
        <v>0</v>
      </c>
      <c r="I165" s="393">
        <f t="shared" si="115"/>
        <v>0</v>
      </c>
    </row>
    <row r="166" spans="2:9" outlineLevel="1" x14ac:dyDescent="0.2">
      <c r="B166" s="126" t="s">
        <v>70</v>
      </c>
      <c r="C166" s="390">
        <f>_xlfn.XLOOKUP($B166,DATA!$H$6:$H$60,DATA!J$6:J$60)</f>
        <v>-16967</v>
      </c>
      <c r="D166" s="391">
        <f>_xlfn.XLOOKUP($B166,DATA!$H$6:$H$60,DATA!K$6:K$60)</f>
        <v>0</v>
      </c>
      <c r="E166" s="391">
        <f>_xlfn.XLOOKUP($B166,DATA!$H$6:$H$60,DATA!L$6:L$60)</f>
        <v>-477</v>
      </c>
      <c r="F166" s="392">
        <f>E166*(1+F19)</f>
        <v>-488.92499999999995</v>
      </c>
      <c r="G166" s="393">
        <f>F166*(1+G19)</f>
        <v>-498.70349999999996</v>
      </c>
      <c r="H166" s="393">
        <f>G166*(1+H19)</f>
        <v>-508.67756999999995</v>
      </c>
      <c r="I166" s="393">
        <f>H166*(1+I19)</f>
        <v>-518.8511213999999</v>
      </c>
    </row>
    <row r="167" spans="2:9" outlineLevel="1" x14ac:dyDescent="0.2">
      <c r="B167" s="126" t="s">
        <v>71</v>
      </c>
      <c r="C167" s="390">
        <f>_xlfn.XLOOKUP($B167,DATA!$H$6:$H$60,DATA!J$6:J$60)</f>
        <v>9898860</v>
      </c>
      <c r="D167" s="391">
        <f>_xlfn.XLOOKUP($B167,DATA!$H$6:$H$60,DATA!K$6:K$60)</f>
        <v>10748513</v>
      </c>
      <c r="E167" s="391">
        <f>_xlfn.XLOOKUP($B167,DATA!$H$6:$H$60,DATA!L$6:L$60)</f>
        <v>12125995</v>
      </c>
      <c r="F167" s="392">
        <f>E167*(1+F19)</f>
        <v>12429144.874999998</v>
      </c>
      <c r="G167" s="393">
        <f>F167*(1+G19)</f>
        <v>12677727.772499999</v>
      </c>
      <c r="H167" s="393">
        <f>G167*(1+H19)</f>
        <v>12931282.327949999</v>
      </c>
      <c r="I167" s="393">
        <f>H167*(1+I19)</f>
        <v>13189907.974508999</v>
      </c>
    </row>
    <row r="168" spans="2:9" outlineLevel="1" x14ac:dyDescent="0.2">
      <c r="B168" s="126" t="s">
        <v>72</v>
      </c>
      <c r="C168" s="390">
        <f>_xlfn.XLOOKUP($B168,DATA!$H$6:$H$60,DATA!J$6:J$60)</f>
        <v>2692347</v>
      </c>
      <c r="D168" s="391">
        <f>_xlfn.XLOOKUP($B168,DATA!$H$6:$H$60,DATA!K$6:K$60)</f>
        <v>4272463</v>
      </c>
      <c r="E168" s="391">
        <f>_xlfn.XLOOKUP($B168,DATA!$H$6:$H$60,DATA!L$6:L$60)</f>
        <v>5771261</v>
      </c>
      <c r="F168" s="392">
        <f>E168+F64+F66</f>
        <v>9504034.7246170938</v>
      </c>
      <c r="G168" s="393">
        <f>F168+G64+G66</f>
        <v>14362688.94627434</v>
      </c>
      <c r="H168" s="393">
        <f>G168+H64+H66</f>
        <v>20500059.419284742</v>
      </c>
      <c r="I168" s="393">
        <f>H168+I64+I66</f>
        <v>28121234.490027081</v>
      </c>
    </row>
    <row r="169" spans="2:9" ht="12.75" outlineLevel="1" thickBot="1" x14ac:dyDescent="0.25">
      <c r="B169" s="167" t="s">
        <v>74</v>
      </c>
      <c r="C169" s="394">
        <f>_xlfn.XLOOKUP($B169,DATA!$H$6:$H$60,DATA!J$6:J$60)</f>
        <v>47727</v>
      </c>
      <c r="D169" s="395">
        <f>_xlfn.XLOOKUP($B169,DATA!$H$6:$H$60,DATA!K$6:K$60)</f>
        <v>30789</v>
      </c>
      <c r="E169" s="395">
        <f>_xlfn.XLOOKUP($B169,DATA!$H$6:$H$60,DATA!L$6:L$60)</f>
        <v>37787</v>
      </c>
      <c r="F169" s="396">
        <f>E169</f>
        <v>37787</v>
      </c>
      <c r="G169" s="397">
        <f t="shared" ref="G169:I169" si="116">F169</f>
        <v>37787</v>
      </c>
      <c r="H169" s="397">
        <f t="shared" si="116"/>
        <v>37787</v>
      </c>
      <c r="I169" s="397">
        <f t="shared" si="116"/>
        <v>37787</v>
      </c>
    </row>
    <row r="170" spans="2:9" ht="13.5" outlineLevel="1" thickTop="1" thickBot="1" x14ac:dyDescent="0.25">
      <c r="B170" s="257" t="s">
        <v>232</v>
      </c>
      <c r="C170" s="258">
        <f>SUM(C162:C169)</f>
        <v>15672561</v>
      </c>
      <c r="D170" s="259">
        <f t="shared" ref="D170:I170" si="117">SUM(D162:D169)</f>
        <v>18102359</v>
      </c>
      <c r="E170" s="259">
        <f t="shared" si="117"/>
        <v>20985160</v>
      </c>
      <c r="F170" s="260">
        <f t="shared" si="117"/>
        <v>25021071.674617093</v>
      </c>
      <c r="G170" s="261">
        <f t="shared" si="117"/>
        <v>30128299.015274338</v>
      </c>
      <c r="H170" s="261">
        <f t="shared" si="117"/>
        <v>36519214.069664739</v>
      </c>
      <c r="I170" s="261">
        <f t="shared" si="117"/>
        <v>44399004.613414682</v>
      </c>
    </row>
    <row r="171" spans="2:9" ht="12.75" outlineLevel="1" thickTop="1" x14ac:dyDescent="0.2">
      <c r="B171" s="166" t="s">
        <v>236</v>
      </c>
      <c r="C171" s="160">
        <f>SUM(C160,C170)</f>
        <v>151049748</v>
      </c>
      <c r="D171" s="161">
        <f t="shared" ref="D171:I171" si="118">SUM(D160,D170)</f>
        <v>163681337</v>
      </c>
      <c r="E171" s="161">
        <f t="shared" si="118"/>
        <v>178719788</v>
      </c>
      <c r="F171" s="162">
        <f t="shared" si="118"/>
        <v>198806105.89439878</v>
      </c>
      <c r="G171" s="163">
        <f t="shared" si="118"/>
        <v>220409703.88543448</v>
      </c>
      <c r="H171" s="163">
        <f t="shared" si="118"/>
        <v>244515913.64352185</v>
      </c>
      <c r="I171" s="163">
        <f t="shared" si="118"/>
        <v>271489410.43508565</v>
      </c>
    </row>
    <row r="172" spans="2:9" outlineLevel="1" x14ac:dyDescent="0.2">
      <c r="C172" s="93"/>
      <c r="D172" s="93"/>
      <c r="E172" s="99"/>
      <c r="F172" s="189"/>
      <c r="G172" s="189"/>
      <c r="H172" s="189"/>
      <c r="I172" s="189"/>
    </row>
    <row r="173" spans="2:9" outlineLevel="1" x14ac:dyDescent="0.2"/>
    <row r="174" spans="2:9" outlineLevel="1" x14ac:dyDescent="0.2">
      <c r="B174" s="2" t="s">
        <v>195</v>
      </c>
      <c r="C174" s="3"/>
      <c r="D174" s="3"/>
      <c r="E174" s="3"/>
      <c r="F174" s="4"/>
      <c r="G174" s="4"/>
      <c r="H174" s="4"/>
      <c r="I174" s="4"/>
    </row>
    <row r="175" spans="2:9" outlineLevel="1" x14ac:dyDescent="0.2"/>
    <row r="176" spans="2:9" outlineLevel="1" x14ac:dyDescent="0.2">
      <c r="B176" s="117" t="str">
        <f>B122</f>
        <v>Средства за тргување</v>
      </c>
      <c r="C176" s="382">
        <f>_xlfn.XLOOKUP($B176,$B$116:$B$170,C$116:C$170)</f>
        <v>127387</v>
      </c>
      <c r="D176" s="147">
        <f>_xlfn.XLOOKUP($B176,$B$116:$B$170,D$116:D$170)</f>
        <v>114321</v>
      </c>
      <c r="E176" s="147">
        <f>_xlfn.XLOOKUP($B176,$B$116:$B$170,E$116:E$170)</f>
        <v>250635</v>
      </c>
      <c r="F176" s="250">
        <f>E176*(1+F177)</f>
        <v>237957.01135933702</v>
      </c>
      <c r="G176" s="115">
        <f t="shared" ref="G176:I176" si="119">F176*(1+G177)</f>
        <v>225920.31940897179</v>
      </c>
      <c r="H176" s="115">
        <f t="shared" si="119"/>
        <v>214492.48513537913</v>
      </c>
      <c r="I176" s="115">
        <f t="shared" si="119"/>
        <v>203642.71040298376</v>
      </c>
    </row>
    <row r="177" spans="2:9" outlineLevel="1" x14ac:dyDescent="0.2">
      <c r="B177" s="118" t="str">
        <f>_xlfn.CONCAT("YoY раст на ",LOWER(B176))</f>
        <v>YoY раст на средства за тргување</v>
      </c>
      <c r="C177" s="215"/>
      <c r="D177" s="116">
        <f>D176/C176-1</f>
        <v>-0.10256933596049833</v>
      </c>
      <c r="E177" s="116">
        <f>E176/E$141</f>
        <v>1.4023908757098569E-3</v>
      </c>
      <c r="F177" s="215">
        <f>AVERAGE($C177:E177)</f>
        <v>-5.0583472542394238E-2</v>
      </c>
      <c r="G177" s="116">
        <f>AVERAGE($C177:F177)</f>
        <v>-5.0583472542394238E-2</v>
      </c>
      <c r="H177" s="116">
        <f>AVERAGE($C177:G177)</f>
        <v>-5.0583472542394238E-2</v>
      </c>
      <c r="I177" s="116">
        <f>AVERAGE($C177:H177)</f>
        <v>-5.0583472542394238E-2</v>
      </c>
    </row>
    <row r="178" spans="2:9" outlineLevel="1" x14ac:dyDescent="0.2">
      <c r="F178" s="66"/>
    </row>
    <row r="179" spans="2:9" ht="24" outlineLevel="1" x14ac:dyDescent="0.2">
      <c r="B179" s="117" t="str">
        <f>B123</f>
        <v>Финансиски средства по објективна вредност преку билансот на успех определени како такви при почетното признавање</v>
      </c>
      <c r="C179" s="382">
        <f>_xlfn.XLOOKUP($B179,$B$116:$B$170,C$116:C$170)</f>
        <v>354937</v>
      </c>
      <c r="D179" s="147">
        <f>_xlfn.XLOOKUP($B179,$B$116:$B$170,D$116:D$170)</f>
        <v>364135</v>
      </c>
      <c r="E179" s="147">
        <f>_xlfn.XLOOKUP($B179,$B$116:$B$170,E$116:E$170)</f>
        <v>374973</v>
      </c>
      <c r="F179" s="250">
        <f>E179*(1+F180)</f>
        <v>380224.97752896033</v>
      </c>
      <c r="G179" s="115">
        <f t="shared" ref="G179:I179" si="120">F179*(1+G180)</f>
        <v>385550.51573552866</v>
      </c>
      <c r="H179" s="115">
        <f t="shared" si="120"/>
        <v>390950.6449312896</v>
      </c>
      <c r="I179" s="115">
        <f t="shared" si="120"/>
        <v>396426.40985866217</v>
      </c>
    </row>
    <row r="180" spans="2:9" ht="24" outlineLevel="1" x14ac:dyDescent="0.2">
      <c r="B180" s="118" t="str">
        <f>_xlfn.CONCAT("YoY раст на ",LOWER(B179))</f>
        <v>YoY раст на финансиски средства по објективна вредност преку билансот на успех определени како такви при почетното признавање</v>
      </c>
      <c r="C180" s="215"/>
      <c r="D180" s="116">
        <f>D179/C179-1</f>
        <v>2.5914458058754031E-2</v>
      </c>
      <c r="E180" s="116">
        <f t="shared" ref="E180" si="121">E179/E$141</f>
        <v>2.0981056669561403E-3</v>
      </c>
      <c r="F180" s="215">
        <f>AVERAGE($C180:E180)</f>
        <v>1.4006281862855085E-2</v>
      </c>
      <c r="G180" s="116">
        <f>AVERAGE($C180:F180)</f>
        <v>1.4006281862855083E-2</v>
      </c>
      <c r="H180" s="116">
        <f>AVERAGE($C180:G180)</f>
        <v>1.4006281862855083E-2</v>
      </c>
      <c r="I180" s="116">
        <f>AVERAGE($C180:H180)</f>
        <v>1.4006281862855083E-2</v>
      </c>
    </row>
    <row r="181" spans="2:9" outlineLevel="1" x14ac:dyDescent="0.2">
      <c r="B181" s="91"/>
      <c r="C181" s="76"/>
      <c r="D181" s="76"/>
      <c r="E181" s="76"/>
      <c r="F181" s="217"/>
      <c r="G181" s="76"/>
      <c r="H181" s="76"/>
      <c r="I181" s="76"/>
    </row>
    <row r="182" spans="2:9" outlineLevel="1" x14ac:dyDescent="0.2">
      <c r="B182" s="117" t="str">
        <f>B130</f>
        <v>Побарувања за данок на добивка (тековен)</v>
      </c>
      <c r="C182" s="382">
        <f>_xlfn.XLOOKUP($B182,$B$116:$B$170,C$116:C$170)</f>
        <v>983</v>
      </c>
      <c r="D182" s="147">
        <f>_xlfn.XLOOKUP($B182,$B$116:$B$170,D$116:D$170)</f>
        <v>890</v>
      </c>
      <c r="E182" s="147">
        <f>_xlfn.XLOOKUP($B182,$B$116:$B$170,E$116:E$170)</f>
        <v>391</v>
      </c>
      <c r="F182" s="250">
        <f>E182*(1+F183)</f>
        <v>262.89227142318288</v>
      </c>
      <c r="G182" s="115">
        <f t="shared" ref="G182" si="122">F182*(1+G183)</f>
        <v>176.75791911519298</v>
      </c>
      <c r="H182" s="115">
        <f t="shared" ref="H182" si="123">G182*(1+H183)</f>
        <v>118.84473362718239</v>
      </c>
      <c r="I182" s="115">
        <f t="shared" ref="I182" si="124">H182*(1+I183)</f>
        <v>79.906296598294375</v>
      </c>
    </row>
    <row r="183" spans="2:9" outlineLevel="1" x14ac:dyDescent="0.2">
      <c r="B183" s="118" t="str">
        <f>_xlfn.CONCAT("YoY раст на ",LOWER(B182))</f>
        <v>YoY раст на побарувања за данок на добивка (тековен)</v>
      </c>
      <c r="C183" s="215"/>
      <c r="D183" s="116">
        <f>D182/C182-1</f>
        <v>-9.460834181078337E-2</v>
      </c>
      <c r="E183" s="116">
        <f>E182/D182-1</f>
        <v>-0.56067415730337078</v>
      </c>
      <c r="F183" s="215">
        <f>AVERAGE($C183:E183)</f>
        <v>-0.32764124955707707</v>
      </c>
      <c r="G183" s="116">
        <f>AVERAGE($C183:F183)</f>
        <v>-0.32764124955707707</v>
      </c>
      <c r="H183" s="116">
        <f>AVERAGE($C183:G183)</f>
        <v>-0.32764124955707707</v>
      </c>
      <c r="I183" s="116">
        <f>AVERAGE($C183:H183)</f>
        <v>-0.32764124955707707</v>
      </c>
    </row>
    <row r="184" spans="2:9" outlineLevel="1" x14ac:dyDescent="0.2">
      <c r="B184" s="91"/>
      <c r="C184" s="76"/>
      <c r="D184" s="76"/>
      <c r="E184" s="76"/>
      <c r="F184" s="217"/>
      <c r="G184" s="76"/>
      <c r="H184" s="76"/>
      <c r="I184" s="76"/>
    </row>
    <row r="185" spans="2:9" outlineLevel="1" x14ac:dyDescent="0.2">
      <c r="B185" s="117" t="str">
        <f>B131</f>
        <v>Останати побарувања</v>
      </c>
      <c r="C185" s="382">
        <f>_xlfn.XLOOKUP($B185,$B$116:$B$170,C$116:C$170)</f>
        <v>2368784</v>
      </c>
      <c r="D185" s="147">
        <f>_xlfn.XLOOKUP($B185,$B$116:$B$170,D$116:D$170)</f>
        <v>2583333</v>
      </c>
      <c r="E185" s="147">
        <f>_xlfn.XLOOKUP($B185,$B$116:$B$170,E$116:E$170)</f>
        <v>2943753</v>
      </c>
      <c r="F185" s="250">
        <f>E185*(1+F186)</f>
        <v>3282418.4077534066</v>
      </c>
      <c r="G185" s="115">
        <f t="shared" ref="G185" si="125">F185*(1+G186)</f>
        <v>3660045.7319477578</v>
      </c>
      <c r="H185" s="115">
        <f t="shared" ref="H185" si="126">G185*(1+H186)</f>
        <v>4081117.3640467152</v>
      </c>
      <c r="I185" s="115">
        <f t="shared" ref="I185" si="127">H185*(1+I186)</f>
        <v>4550631.3742861571</v>
      </c>
    </row>
    <row r="186" spans="2:9" outlineLevel="1" x14ac:dyDescent="0.2">
      <c r="B186" s="118" t="str">
        <f>_xlfn.CONCAT("YoY раст на ",LOWER(B185))</f>
        <v>YoY раст на останати побарувања</v>
      </c>
      <c r="C186" s="215"/>
      <c r="D186" s="116">
        <f>D185/C185-1</f>
        <v>9.0573475673594528E-2</v>
      </c>
      <c r="E186" s="116">
        <f>E185/D185-1</f>
        <v>0.13951743735708866</v>
      </c>
      <c r="F186" s="215">
        <f>AVERAGE($C186:E186)</f>
        <v>0.11504545651534159</v>
      </c>
      <c r="G186" s="116">
        <f>AVERAGE($C186:F186)</f>
        <v>0.11504545651534159</v>
      </c>
      <c r="H186" s="116">
        <f>AVERAGE($C186:G186)</f>
        <v>0.11504545651534159</v>
      </c>
      <c r="I186" s="116">
        <f>AVERAGE($C186:H186)</f>
        <v>0.11504545651534159</v>
      </c>
    </row>
    <row r="187" spans="2:9" outlineLevel="1" x14ac:dyDescent="0.2">
      <c r="B187" s="91"/>
      <c r="C187" s="76"/>
      <c r="D187" s="76"/>
      <c r="E187" s="76"/>
      <c r="F187" s="217"/>
      <c r="G187" s="76"/>
      <c r="H187" s="76"/>
      <c r="I187" s="76"/>
    </row>
    <row r="188" spans="2:9" outlineLevel="1" x14ac:dyDescent="0.2">
      <c r="B188" s="117" t="str">
        <f>B128</f>
        <v>Вложувања во хартии од вредност</v>
      </c>
      <c r="C188" s="382">
        <f>_xlfn.XLOOKUP($B188,$B$116:$B$170,C$116:C$170)</f>
        <v>27114944</v>
      </c>
      <c r="D188" s="147">
        <f>_xlfn.XLOOKUP($B188,$B$116:$B$170,D$116:D$170)</f>
        <v>29887949</v>
      </c>
      <c r="E188" s="147">
        <f>_xlfn.XLOOKUP($B188,$B$116:$B$170,E$116:E$170)</f>
        <v>37416023</v>
      </c>
      <c r="F188" s="250">
        <f>E188*(1+F189)</f>
        <v>44041373.234283447</v>
      </c>
      <c r="G188" s="115">
        <f t="shared" ref="G188" si="128">F188*(1+G189)</f>
        <v>51839891.063822001</v>
      </c>
      <c r="H188" s="115">
        <f t="shared" ref="H188" si="129">G188*(1+H189)</f>
        <v>61019312.254709162</v>
      </c>
      <c r="I188" s="115">
        <f t="shared" ref="I188" si="130">H188*(1+I189)</f>
        <v>71824156.872817084</v>
      </c>
    </row>
    <row r="189" spans="2:9" outlineLevel="1" x14ac:dyDescent="0.2">
      <c r="B189" s="118" t="str">
        <f>_xlfn.CONCAT("YoY раст на ",LOWER(B188))</f>
        <v>YoY раст на вложувања во хартии од вредност</v>
      </c>
      <c r="C189" s="215"/>
      <c r="D189" s="116">
        <f>D188/C188-1</f>
        <v>0.10226851289089889</v>
      </c>
      <c r="E189" s="116">
        <f>E188/D188-1</f>
        <v>0.25187656737503139</v>
      </c>
      <c r="F189" s="215">
        <f>AVERAGE($C189:E189)</f>
        <v>0.17707254013296514</v>
      </c>
      <c r="G189" s="116">
        <f>AVERAGE($C189:F189)</f>
        <v>0.17707254013296514</v>
      </c>
      <c r="H189" s="116">
        <f>AVERAGE($C189:G189)</f>
        <v>0.17707254013296514</v>
      </c>
      <c r="I189" s="116">
        <f>AVERAGE($C189:H189)</f>
        <v>0.17707254013296514</v>
      </c>
    </row>
    <row r="190" spans="2:9" outlineLevel="1" x14ac:dyDescent="0.2">
      <c r="F190" s="66"/>
    </row>
    <row r="191" spans="2:9" outlineLevel="1" x14ac:dyDescent="0.2">
      <c r="B191" s="117" t="s">
        <v>51</v>
      </c>
      <c r="C191" s="382">
        <f>_xlfn.XLOOKUP($B191,$B$116:$B$170,C$116:C$170)</f>
        <v>260358</v>
      </c>
      <c r="D191" s="147">
        <f>_xlfn.XLOOKUP($B191,$B$116:$B$170,D$116:D$170)</f>
        <v>521458</v>
      </c>
      <c r="E191" s="147">
        <f>_xlfn.XLOOKUP($B191,$B$116:$B$170,E$116:E$170)</f>
        <v>1233413</v>
      </c>
      <c r="F191" s="250">
        <f>E191+F192*E191</f>
        <v>1418424.95</v>
      </c>
      <c r="G191" s="115">
        <f t="shared" ref="G191" si="131">F191+G192*F191</f>
        <v>1631188.6924999999</v>
      </c>
      <c r="H191" s="115">
        <f t="shared" ref="H191" si="132">G191+H192*G191</f>
        <v>1875866.9963749999</v>
      </c>
      <c r="I191" s="115">
        <f t="shared" ref="I191" si="133">H191+I192*H191</f>
        <v>2157247.04583125</v>
      </c>
    </row>
    <row r="192" spans="2:9" outlineLevel="1" x14ac:dyDescent="0.2">
      <c r="B192" s="118" t="str">
        <f>_xlfn.CONCAT("YoY раст на ",LOWER(B191))</f>
        <v>YoY раст на депозити на банките</v>
      </c>
      <c r="C192" s="215"/>
      <c r="D192" s="116">
        <f>D191/C191-1</f>
        <v>1.002849922030435</v>
      </c>
      <c r="E192" s="116">
        <f>E191/D191-1</f>
        <v>1.3653160944889136</v>
      </c>
      <c r="F192" s="262">
        <v>0.15</v>
      </c>
      <c r="G192" s="263">
        <v>0.15</v>
      </c>
      <c r="H192" s="263">
        <v>0.15</v>
      </c>
      <c r="I192" s="263">
        <v>0.15</v>
      </c>
    </row>
    <row r="193" spans="2:10" outlineLevel="1" x14ac:dyDescent="0.2">
      <c r="F193" s="66"/>
    </row>
    <row r="194" spans="2:10" outlineLevel="1" x14ac:dyDescent="0.2">
      <c r="B194" s="117" t="s">
        <v>56</v>
      </c>
      <c r="C194" s="382">
        <f>_xlfn.XLOOKUP($B194,$B$116:$B$170,C$116:C$170)</f>
        <v>698159</v>
      </c>
      <c r="D194" s="147">
        <f>_xlfn.XLOOKUP($B194,$B$116:$B$170,D$116:D$170)</f>
        <v>876461</v>
      </c>
      <c r="E194" s="147">
        <f>_xlfn.XLOOKUP($B194,$B$116:$B$170,E$116:E$170)</f>
        <v>1456825</v>
      </c>
      <c r="F194" s="250">
        <f>E194+F195*E194</f>
        <v>2125184.4985828777</v>
      </c>
      <c r="G194" s="115">
        <f t="shared" ref="G194" si="134">F194+G195*F194</f>
        <v>3100172.7407320426</v>
      </c>
      <c r="H194" s="115">
        <f t="shared" ref="H194" si="135">G194+H195*G194</f>
        <v>4522464.298411224</v>
      </c>
      <c r="I194" s="115">
        <f t="shared" ref="I194" si="136">H194+I195*H194</f>
        <v>6597272.165413158</v>
      </c>
    </row>
    <row r="195" spans="2:10" outlineLevel="1" x14ac:dyDescent="0.2">
      <c r="B195" s="118" t="str">
        <f>_xlfn.CONCAT("YoY раст на ",LOWER(B194))</f>
        <v>YoY раст на обврски по кредити</v>
      </c>
      <c r="C195" s="215"/>
      <c r="D195" s="116">
        <f>D194/C194-1</f>
        <v>0.25538881544175474</v>
      </c>
      <c r="E195" s="116">
        <f>E194/D194-1</f>
        <v>0.66216751230231585</v>
      </c>
      <c r="F195" s="215">
        <f>AVERAGE($C195:E195)</f>
        <v>0.45877816387203529</v>
      </c>
      <c r="G195" s="116">
        <f>AVERAGE($C195:F195)</f>
        <v>0.45877816387203535</v>
      </c>
      <c r="H195" s="116">
        <f>AVERAGE($C195:G195)</f>
        <v>0.45877816387203535</v>
      </c>
      <c r="I195" s="116">
        <f>AVERAGE($C195:H195)</f>
        <v>0.45877816387203535</v>
      </c>
    </row>
    <row r="196" spans="2:10" outlineLevel="1" x14ac:dyDescent="0.2">
      <c r="F196" s="66"/>
    </row>
    <row r="197" spans="2:10" outlineLevel="1" x14ac:dyDescent="0.2">
      <c r="B197" s="117" t="s">
        <v>59</v>
      </c>
      <c r="C197" s="382">
        <f>_xlfn.XLOOKUP($B197,$B$116:$B$170,C$116:C$170)</f>
        <v>33554</v>
      </c>
      <c r="D197" s="147">
        <f>_xlfn.XLOOKUP($B197,$B$116:$B$170,D$116:D$170)</f>
        <v>229888</v>
      </c>
      <c r="E197" s="147">
        <f>_xlfn.XLOOKUP($B197,$B$116:$B$170,E$116:E$170)</f>
        <v>262671</v>
      </c>
      <c r="F197" s="250">
        <f>E197*(1+F199)</f>
        <v>300128.99429722299</v>
      </c>
      <c r="G197" s="115">
        <f t="shared" ref="G197:I197" si="137">F197*(1+G199)</f>
        <v>342928.65682874207</v>
      </c>
      <c r="H197" s="115">
        <f t="shared" si="137"/>
        <v>391831.73205153167</v>
      </c>
      <c r="I197" s="115">
        <f t="shared" si="137"/>
        <v>447708.59240024653</v>
      </c>
    </row>
    <row r="198" spans="2:10" outlineLevel="1" x14ac:dyDescent="0.2">
      <c r="B198" s="1" t="str">
        <f t="shared" ref="B198:I198" si="138">B63</f>
        <v>Даноци</v>
      </c>
      <c r="C198" s="256">
        <f t="shared" si="138"/>
        <v>-166864</v>
      </c>
      <c r="D198" s="255">
        <f t="shared" si="138"/>
        <v>-336075</v>
      </c>
      <c r="E198" s="255">
        <f t="shared" si="138"/>
        <v>-564418</v>
      </c>
      <c r="F198" s="256">
        <f t="shared" si="138"/>
        <v>-735009.71428921726</v>
      </c>
      <c r="G198" s="255">
        <f t="shared" si="138"/>
        <v>-956703.59757922904</v>
      </c>
      <c r="H198" s="255">
        <f t="shared" si="138"/>
        <v>-1208491.9286976592</v>
      </c>
      <c r="I198" s="255">
        <f t="shared" si="138"/>
        <v>-1500663.6149286136</v>
      </c>
    </row>
    <row r="199" spans="2:10" outlineLevel="1" x14ac:dyDescent="0.2">
      <c r="B199" s="91" t="s">
        <v>248</v>
      </c>
      <c r="C199" s="251"/>
      <c r="D199" s="76">
        <f>D197/C197-1</f>
        <v>5.8512844966322941</v>
      </c>
      <c r="E199" s="76">
        <f>E197/D197-1</f>
        <v>0.14260422466592426</v>
      </c>
      <c r="F199" s="251">
        <f>E199</f>
        <v>0.14260422466592426</v>
      </c>
      <c r="G199" s="76">
        <f t="shared" ref="G199:I199" si="139">F199</f>
        <v>0.14260422466592426</v>
      </c>
      <c r="H199" s="76">
        <f t="shared" si="139"/>
        <v>0.14260422466592426</v>
      </c>
      <c r="I199" s="76">
        <f t="shared" si="139"/>
        <v>0.14260422466592426</v>
      </c>
    </row>
    <row r="200" spans="2:10" ht="24" outlineLevel="1" x14ac:dyDescent="0.2">
      <c r="B200" s="110" t="s">
        <v>249</v>
      </c>
      <c r="C200" s="385" t="s">
        <v>250</v>
      </c>
      <c r="D200" s="110" t="s">
        <v>251</v>
      </c>
      <c r="E200" s="110"/>
      <c r="F200" s="221"/>
      <c r="G200" s="110"/>
      <c r="H200" s="110"/>
      <c r="I200" s="110"/>
    </row>
    <row r="201" spans="2:10" outlineLevel="1" x14ac:dyDescent="0.2">
      <c r="F201" s="66"/>
    </row>
    <row r="202" spans="2:10" outlineLevel="1" x14ac:dyDescent="0.2">
      <c r="B202" s="117" t="s">
        <v>62</v>
      </c>
      <c r="C202" s="382">
        <f>_xlfn.XLOOKUP($B202,$B$116:$B$170,C$116:C$170)</f>
        <v>764099</v>
      </c>
      <c r="D202" s="147">
        <f>_xlfn.XLOOKUP($B202,$B$116:$B$170,D$116:D$170)</f>
        <v>945153</v>
      </c>
      <c r="E202" s="147">
        <f>_xlfn.XLOOKUP($B202,$B$116:$B$170,E$116:E$170)</f>
        <v>1134283</v>
      </c>
      <c r="F202" s="250">
        <f>E202+F203*E202</f>
        <v>1382155.6743535805</v>
      </c>
      <c r="G202" s="115">
        <f t="shared" ref="G202" si="140">F202+G203*F202</f>
        <v>1684195.485736629</v>
      </c>
      <c r="H202" s="115">
        <f t="shared" ref="H202" si="141">G202+H203*G202</f>
        <v>2052239.4740391653</v>
      </c>
      <c r="I202" s="115">
        <f t="shared" ref="I202" si="142">H202+I203*H202</f>
        <v>2500711.4046279807</v>
      </c>
    </row>
    <row r="203" spans="2:10" outlineLevel="1" x14ac:dyDescent="0.2">
      <c r="B203" s="118" t="str">
        <f>_xlfn.CONCAT("YoY раст на ",LOWER(B202))</f>
        <v>YoY раст на останати обврски</v>
      </c>
      <c r="C203" s="215"/>
      <c r="D203" s="116">
        <f>D202/C202-1</f>
        <v>0.23695097101291851</v>
      </c>
      <c r="E203" s="116">
        <f>E202/D202-1</f>
        <v>0.20010516815795953</v>
      </c>
      <c r="F203" s="215">
        <f>AVERAGE($C203:E203)</f>
        <v>0.21852806958543902</v>
      </c>
      <c r="G203" s="116">
        <f>AVERAGE($C203:F203)</f>
        <v>0.21852806958543902</v>
      </c>
      <c r="H203" s="116">
        <f>AVERAGE($C203:G203)</f>
        <v>0.21852806958543902</v>
      </c>
      <c r="I203" s="116">
        <f>AVERAGE($C203:H203)</f>
        <v>0.21852806958543902</v>
      </c>
    </row>
    <row r="204" spans="2:10" outlineLevel="1" x14ac:dyDescent="0.2">
      <c r="F204" s="66"/>
      <c r="J204" s="93"/>
    </row>
    <row r="205" spans="2:10" outlineLevel="1" x14ac:dyDescent="0.2">
      <c r="B205" s="117" t="s">
        <v>71</v>
      </c>
      <c r="C205" s="383">
        <f>C167</f>
        <v>9898860</v>
      </c>
      <c r="D205" s="114">
        <f>D167</f>
        <v>10748513</v>
      </c>
      <c r="E205" s="114">
        <f>E167</f>
        <v>12125995</v>
      </c>
      <c r="F205" s="250">
        <f>E205+E205*F206</f>
        <v>13423409.813638432</v>
      </c>
      <c r="G205" s="115">
        <f t="shared" ref="G205:I205" si="143">F205+F205*G206</f>
        <v>14859640.881006842</v>
      </c>
      <c r="H205" s="115">
        <f t="shared" si="143"/>
        <v>16449540.778241297</v>
      </c>
      <c r="I205" s="115">
        <f t="shared" si="143"/>
        <v>18209551.225486223</v>
      </c>
      <c r="J205" s="76"/>
    </row>
    <row r="206" spans="2:10" outlineLevel="1" x14ac:dyDescent="0.2">
      <c r="B206" s="118" t="s">
        <v>241</v>
      </c>
      <c r="C206" s="265"/>
      <c r="D206" s="116">
        <f>D205/C205-1</f>
        <v>8.5833419201807093E-2</v>
      </c>
      <c r="E206" s="116">
        <f>E205/D205-1</f>
        <v>0.12815558766128854</v>
      </c>
      <c r="F206" s="215">
        <f>AVERAGE($D$206:E206)</f>
        <v>0.10699450343154782</v>
      </c>
      <c r="G206" s="116">
        <f>AVERAGE($D$206:F206)</f>
        <v>0.10699450343154782</v>
      </c>
      <c r="H206" s="116">
        <f>AVERAGE($D$206:G206)</f>
        <v>0.10699450343154782</v>
      </c>
      <c r="I206" s="116">
        <f>AVERAGE($D$206:H206)</f>
        <v>0.10699450343154782</v>
      </c>
    </row>
    <row r="207" spans="2:10" outlineLevel="1" x14ac:dyDescent="0.2">
      <c r="B207" s="91"/>
      <c r="C207" s="93"/>
      <c r="D207" s="93"/>
      <c r="E207" s="93"/>
      <c r="F207" s="115"/>
      <c r="G207" s="93"/>
      <c r="H207" s="93"/>
      <c r="I207" s="93"/>
    </row>
    <row r="208" spans="2:10" outlineLevel="1" x14ac:dyDescent="0.2">
      <c r="B208" s="113" t="s">
        <v>238</v>
      </c>
      <c r="C208" s="382">
        <v>0</v>
      </c>
      <c r="D208" s="147">
        <v>0</v>
      </c>
      <c r="E208" s="147">
        <v>0</v>
      </c>
      <c r="F208" s="252">
        <f>SUM(F125:F129,F132,F135,F138,F139,F140)</f>
        <v>143472103.99069658</v>
      </c>
      <c r="G208" s="201">
        <f>SUM(G125:G129,G132,G135,G138,G139,G140)</f>
        <v>164080826.25560537</v>
      </c>
      <c r="H208" s="201">
        <f>SUM(H125:H129,H132,H135,H138,H139,H140)</f>
        <v>185858014.04918936</v>
      </c>
      <c r="I208" s="201">
        <f>SUM(I125:I129,I132,I135,I138,I139,I140)</f>
        <v>209651625.208298</v>
      </c>
    </row>
    <row r="209" spans="2:10" outlineLevel="1" x14ac:dyDescent="0.2">
      <c r="B209" s="1" t="s">
        <v>240</v>
      </c>
      <c r="C209" s="386">
        <v>0</v>
      </c>
      <c r="D209" s="199">
        <v>0</v>
      </c>
      <c r="E209" s="199">
        <v>0</v>
      </c>
      <c r="F209" s="253">
        <f>F171-F208</f>
        <v>55334001.903702199</v>
      </c>
      <c r="G209" s="200">
        <f>G171-G208</f>
        <v>56328877.629829109</v>
      </c>
      <c r="H209" s="200">
        <f>H171-H208</f>
        <v>58657899.594332486</v>
      </c>
      <c r="I209" s="200">
        <f>I171-I208</f>
        <v>61837785.226787657</v>
      </c>
    </row>
    <row r="210" spans="2:10" outlineLevel="1" x14ac:dyDescent="0.2">
      <c r="B210" s="202" t="s">
        <v>239</v>
      </c>
      <c r="C210" s="387">
        <v>0</v>
      </c>
      <c r="D210" s="204">
        <v>0</v>
      </c>
      <c r="E210" s="204">
        <v>0</v>
      </c>
      <c r="F210" s="254">
        <f>F209-F119</f>
        <v>-1533418.3462977931</v>
      </c>
      <c r="G210" s="205">
        <f>G209-G119</f>
        <v>-1675891.025170885</v>
      </c>
      <c r="H210" s="205">
        <f>H209-H119</f>
        <v>-506964.43376750499</v>
      </c>
      <c r="I210" s="205">
        <f>I209-I119</f>
        <v>1489623.9181256667</v>
      </c>
    </row>
    <row r="211" spans="2:10" outlineLevel="1" x14ac:dyDescent="0.2">
      <c r="F211" s="66"/>
    </row>
    <row r="212" spans="2:10" outlineLevel="1" x14ac:dyDescent="0.2">
      <c r="B212" s="117" t="s">
        <v>305</v>
      </c>
      <c r="C212" s="384">
        <f>DATA!AU52</f>
        <v>1758676</v>
      </c>
      <c r="D212" s="378">
        <f>DATA!AT52</f>
        <v>2122552</v>
      </c>
      <c r="E212" s="378">
        <f>DATA!AS52</f>
        <v>2007566</v>
      </c>
      <c r="F212" s="250">
        <f>E212*(1+F6)*(1+F19)</f>
        <v>2366418.4224999999</v>
      </c>
      <c r="G212" s="377">
        <f>F212*(1+G6)*(1+G19)</f>
        <v>2703396.4058640003</v>
      </c>
      <c r="H212" s="377">
        <f>G212*(1+H6)*(1+H19)</f>
        <v>3033210.7673794087</v>
      </c>
      <c r="I212" s="377">
        <f>H212*(1+I6)*(1+I19)</f>
        <v>3372323.7311724271</v>
      </c>
    </row>
    <row r="213" spans="2:10" outlineLevel="1" x14ac:dyDescent="0.2">
      <c r="B213" s="264" t="s">
        <v>303</v>
      </c>
      <c r="C213" s="216">
        <f>C212/Inputs!C29</f>
        <v>2.9097461911246715E-2</v>
      </c>
      <c r="D213" s="217">
        <f>D212/Inputs!D29</f>
        <v>3.3590968563342746E-2</v>
      </c>
      <c r="E213" s="217">
        <f>E212/Inputs!E29</f>
        <v>2.5403825613171564E-2</v>
      </c>
      <c r="F213" s="398">
        <f>F212/SUM(F126:F127)</f>
        <v>2.5660102261119384E-2</v>
      </c>
      <c r="G213" s="399">
        <f>G212/SUM(G126:G127)</f>
        <v>2.584634571862433E-2</v>
      </c>
      <c r="H213" s="399">
        <f>H212/SUM(H126:H127)</f>
        <v>2.5989249079496055E-2</v>
      </c>
      <c r="I213" s="399">
        <f>I212/SUM(I126:I127)</f>
        <v>2.6108439187935172E-2</v>
      </c>
      <c r="J213" s="93"/>
    </row>
    <row r="214" spans="2:10" outlineLevel="1" x14ac:dyDescent="0.2">
      <c r="B214" s="118" t="s">
        <v>304</v>
      </c>
      <c r="C214" s="215">
        <f>C153/C127</f>
        <v>7.4658740490608569E-3</v>
      </c>
      <c r="D214" s="116">
        <f t="shared" ref="D214:E214" si="144">D153/D127</f>
        <v>8.1331329772639845E-3</v>
      </c>
      <c r="E214" s="116">
        <f t="shared" si="144"/>
        <v>3.8227139283282829E-3</v>
      </c>
      <c r="F214" s="233">
        <f>E214</f>
        <v>3.8227139283282829E-3</v>
      </c>
      <c r="G214" s="234">
        <f t="shared" ref="G214:I214" si="145">F214</f>
        <v>3.8227139283282829E-3</v>
      </c>
      <c r="H214" s="234">
        <f t="shared" si="145"/>
        <v>3.8227139283282829E-3</v>
      </c>
      <c r="I214" s="234">
        <f t="shared" si="145"/>
        <v>3.8227139283282829E-3</v>
      </c>
    </row>
    <row r="215" spans="2:10" outlineLevel="1" x14ac:dyDescent="0.2">
      <c r="B215" s="264" t="s">
        <v>306</v>
      </c>
      <c r="C215" s="268">
        <f t="shared" ref="C215:I215" si="146">SUM(C126:C127)*C214</f>
        <v>451243.94523328304</v>
      </c>
      <c r="D215" s="119">
        <f t="shared" si="146"/>
        <v>513917.82986562769</v>
      </c>
      <c r="E215" s="119">
        <f t="shared" si="146"/>
        <v>302094.28403016762</v>
      </c>
      <c r="F215" s="265">
        <f t="shared" si="146"/>
        <v>352537.20238092181</v>
      </c>
      <c r="G215" s="203">
        <f t="shared" si="146"/>
        <v>399836.44910554017</v>
      </c>
      <c r="H215" s="203">
        <f t="shared" si="146"/>
        <v>446149.752636155</v>
      </c>
      <c r="I215" s="203">
        <f t="shared" si="146"/>
        <v>493764.82466795749</v>
      </c>
    </row>
    <row r="216" spans="2:10" outlineLevel="1" x14ac:dyDescent="0.2"/>
    <row r="217" spans="2:10" outlineLevel="1" x14ac:dyDescent="0.2">
      <c r="B217" s="113" t="s">
        <v>244</v>
      </c>
      <c r="C217" s="214">
        <f>C170/C127</f>
        <v>0.26183621207532953</v>
      </c>
      <c r="D217" s="211">
        <f t="shared" ref="D217:I217" si="147">D170/D127</f>
        <v>0.30066962025276511</v>
      </c>
      <c r="E217" s="211">
        <f t="shared" si="147"/>
        <v>0.2875659618666187</v>
      </c>
      <c r="F217" s="214">
        <f t="shared" si="147"/>
        <v>0.29087700864516086</v>
      </c>
      <c r="G217" s="211">
        <f t="shared" si="147"/>
        <v>0.30659135643628588</v>
      </c>
      <c r="H217" s="211">
        <f t="shared" si="147"/>
        <v>0.33121794590245029</v>
      </c>
      <c r="I217" s="211">
        <f t="shared" si="147"/>
        <v>0.36219212301998877</v>
      </c>
    </row>
    <row r="218" spans="2:10" outlineLevel="1" x14ac:dyDescent="0.2">
      <c r="B218" s="110" t="s">
        <v>245</v>
      </c>
      <c r="C218" s="215">
        <f>(C127-C154)/C148</f>
        <v>0.44610369053865168</v>
      </c>
      <c r="D218" s="116">
        <f t="shared" ref="D218:I218" si="148">(D127-D154)/D148</f>
        <v>0.41902134619521947</v>
      </c>
      <c r="E218" s="116">
        <f t="shared" si="148"/>
        <v>0.47400182227152565</v>
      </c>
      <c r="F218" s="215">
        <f t="shared" si="148"/>
        <v>0.50693141614553217</v>
      </c>
      <c r="G218" s="116">
        <f t="shared" si="148"/>
        <v>0.52890547011398725</v>
      </c>
      <c r="H218" s="116">
        <f t="shared" si="148"/>
        <v>0.54298561510969823</v>
      </c>
      <c r="I218" s="116">
        <f t="shared" si="148"/>
        <v>0.55314513840003765</v>
      </c>
    </row>
    <row r="219" spans="2:10" outlineLevel="1" x14ac:dyDescent="0.2"/>
    <row r="220" spans="2:10" outlineLevel="1" x14ac:dyDescent="0.2">
      <c r="B220" s="2" t="s">
        <v>79</v>
      </c>
      <c r="C220" s="3"/>
      <c r="D220" s="3"/>
      <c r="E220" s="3"/>
      <c r="F220" s="4"/>
      <c r="G220" s="4"/>
      <c r="H220" s="4"/>
      <c r="I220" s="4"/>
    </row>
    <row r="221" spans="2:10" outlineLevel="1" x14ac:dyDescent="0.2"/>
    <row r="222" spans="2:10" outlineLevel="1" x14ac:dyDescent="0.2">
      <c r="B222" s="66" t="str">
        <f>C116</f>
        <v>во илјади денари</v>
      </c>
      <c r="C222" s="92">
        <v>44926</v>
      </c>
      <c r="D222" s="111">
        <f>EDATE(C222,12)</f>
        <v>45291</v>
      </c>
      <c r="E222" s="111">
        <f t="shared" ref="E222" si="149">EDATE(D222,12)</f>
        <v>45657</v>
      </c>
      <c r="F222" s="428">
        <f>EDATE(E222,12)</f>
        <v>46022</v>
      </c>
      <c r="G222" s="428">
        <f t="shared" ref="G222" si="150">EDATE(F222,12)</f>
        <v>46387</v>
      </c>
      <c r="H222" s="428">
        <f t="shared" ref="H222" si="151">EDATE(G222,12)</f>
        <v>46752</v>
      </c>
      <c r="I222" s="428">
        <f t="shared" ref="I222" si="152">EDATE(H222,12)</f>
        <v>47118</v>
      </c>
    </row>
    <row r="223" spans="2:10" outlineLevel="1" x14ac:dyDescent="0.2">
      <c r="B223" s="429" t="s">
        <v>309</v>
      </c>
      <c r="C223" s="427"/>
      <c r="D223" s="66"/>
      <c r="E223" s="66"/>
      <c r="F223" s="427"/>
      <c r="G223" s="66"/>
      <c r="H223" s="66"/>
      <c r="I223" s="66"/>
    </row>
    <row r="224" spans="2:10" outlineLevel="1" x14ac:dyDescent="0.2">
      <c r="B224" s="97" t="s">
        <v>82</v>
      </c>
      <c r="C224" s="195">
        <f>_xlfn.XLOOKUP($B224,DATA!$N$5:$N$93,DATA!P$5:P$93)</f>
        <v>2338572</v>
      </c>
      <c r="D224" s="196">
        <f>_xlfn.XLOOKUP($B224,DATA!$N$5:$N$93,DATA!Q$5:Q$93)</f>
        <v>3938452</v>
      </c>
      <c r="E224" s="196">
        <f>_xlfn.XLOOKUP($B224,DATA!$N$5:$N$93,DATA!R$5:R$93)</f>
        <v>5524532</v>
      </c>
      <c r="F224" s="195">
        <f>F61</f>
        <v>7170826.4808704127</v>
      </c>
      <c r="G224" s="196">
        <f t="shared" ref="G224:I224" si="153">G61</f>
        <v>9333693.6349193081</v>
      </c>
      <c r="H224" s="196">
        <f t="shared" si="153"/>
        <v>11790165.158025943</v>
      </c>
      <c r="I224" s="196">
        <f t="shared" si="153"/>
        <v>14640620.63344989</v>
      </c>
    </row>
    <row r="225" spans="2:9" outlineLevel="1" x14ac:dyDescent="0.2">
      <c r="B225" s="421" t="s">
        <v>83</v>
      </c>
      <c r="C225" s="250"/>
      <c r="D225" s="115"/>
      <c r="E225" s="115"/>
      <c r="F225" s="220"/>
      <c r="G225" s="113"/>
      <c r="H225" s="113"/>
      <c r="I225" s="113"/>
    </row>
    <row r="226" spans="2:9" ht="24" outlineLevel="1" x14ac:dyDescent="0.2">
      <c r="B226" s="422" t="s">
        <v>84</v>
      </c>
      <c r="C226" s="265">
        <f>_xlfn.XLOOKUP($B226,DATA!$N$5:$N$93,DATA!P$5:P$93)</f>
        <v>-15632</v>
      </c>
      <c r="D226" s="203">
        <f>_xlfn.XLOOKUP($B226,DATA!$N$5:$N$93,DATA!Q$5:Q$93)</f>
        <v>-15069</v>
      </c>
      <c r="E226" s="203">
        <f>_xlfn.XLOOKUP($B226,DATA!$N$5:$N$93,DATA!R$5:R$93)</f>
        <v>-13222</v>
      </c>
      <c r="F226" s="265">
        <f>-F70</f>
        <v>-11899.800000000001</v>
      </c>
      <c r="G226" s="203">
        <f t="shared" ref="G226:I226" si="154">-G70</f>
        <v>-10947.816000000001</v>
      </c>
      <c r="H226" s="203">
        <f t="shared" si="154"/>
        <v>-10290.947040000001</v>
      </c>
      <c r="I226" s="203">
        <f t="shared" si="154"/>
        <v>-9776.3996879999995</v>
      </c>
    </row>
    <row r="227" spans="2:9" outlineLevel="1" x14ac:dyDescent="0.2">
      <c r="B227" s="417" t="s">
        <v>85</v>
      </c>
      <c r="C227" s="250"/>
      <c r="D227" s="115"/>
      <c r="E227" s="115"/>
      <c r="F227" s="220"/>
      <c r="G227" s="113"/>
      <c r="H227" s="113"/>
      <c r="I227" s="113"/>
    </row>
    <row r="228" spans="2:9" outlineLevel="1" x14ac:dyDescent="0.2">
      <c r="B228" s="64" t="s">
        <v>86</v>
      </c>
      <c r="C228" s="425">
        <f>_xlfn.XLOOKUP($B228,DATA!$N$5:$N$93,DATA!P$5:P$93)</f>
        <v>23944</v>
      </c>
      <c r="D228" s="93">
        <f>_xlfn.XLOOKUP($B228,DATA!$N$5:$N$93,DATA!Q$5:Q$93)</f>
        <v>25678</v>
      </c>
      <c r="E228" s="93">
        <f>_xlfn.XLOOKUP($B228,DATA!$N$5:$N$93,DATA!R$5:R$93)</f>
        <v>24015</v>
      </c>
      <c r="F228" s="423">
        <f>F315</f>
        <v>26355.122424899972</v>
      </c>
      <c r="G228" s="101">
        <f t="shared" ref="G228:I228" si="155">G315</f>
        <v>26618.673649148972</v>
      </c>
      <c r="H228" s="101">
        <f t="shared" si="155"/>
        <v>26884.860385640459</v>
      </c>
      <c r="I228" s="101">
        <f t="shared" si="155"/>
        <v>27153.708989496867</v>
      </c>
    </row>
    <row r="229" spans="2:9" outlineLevel="1" x14ac:dyDescent="0.2">
      <c r="B229" s="418" t="s">
        <v>88</v>
      </c>
      <c r="C229" s="265">
        <f>_xlfn.XLOOKUP($B229,DATA!$N$5:$N$93,DATA!P$5:P$93)</f>
        <v>193299</v>
      </c>
      <c r="D229" s="203">
        <f>_xlfn.XLOOKUP($B229,DATA!$N$5:$N$93,DATA!Q$5:Q$93)</f>
        <v>210260</v>
      </c>
      <c r="E229" s="203">
        <f>_xlfn.XLOOKUP($B229,DATA!$N$5:$N$93,DATA!R$5:R$93)</f>
        <v>223724</v>
      </c>
      <c r="F229" s="424">
        <f>F318</f>
        <v>223861.26757510006</v>
      </c>
      <c r="G229" s="434">
        <f t="shared" ref="G229:I229" si="156">G318</f>
        <v>226099.88025085107</v>
      </c>
      <c r="H229" s="434">
        <f t="shared" si="156"/>
        <v>228360.87905335956</v>
      </c>
      <c r="I229" s="434">
        <f t="shared" si="156"/>
        <v>230644.48784389318</v>
      </c>
    </row>
    <row r="230" spans="2:9" outlineLevel="1" x14ac:dyDescent="0.2">
      <c r="B230" s="417" t="s">
        <v>90</v>
      </c>
      <c r="C230" s="250"/>
      <c r="D230" s="115"/>
      <c r="E230" s="115"/>
      <c r="F230" s="220"/>
      <c r="G230" s="113"/>
      <c r="H230" s="113"/>
      <c r="I230" s="113"/>
    </row>
    <row r="231" spans="2:9" outlineLevel="1" x14ac:dyDescent="0.2">
      <c r="B231" s="64" t="s">
        <v>91</v>
      </c>
      <c r="C231" s="425">
        <f>_xlfn.XLOOKUP($B231,DATA!$N$5:$N$93,DATA!P$5:P$93)</f>
        <v>0</v>
      </c>
      <c r="D231" s="93">
        <f>_xlfn.XLOOKUP($B231,DATA!$N$5:$N$93,DATA!Q$5:Q$93)</f>
        <v>0</v>
      </c>
      <c r="E231" s="93">
        <f>_xlfn.XLOOKUP($B231,DATA!$N$5:$N$93,DATA!R$5:R$93)</f>
        <v>0</v>
      </c>
      <c r="F231" s="425">
        <f>E231</f>
        <v>0</v>
      </c>
      <c r="G231" s="93">
        <f t="shared" ref="G231:I231" si="157">F231</f>
        <v>0</v>
      </c>
      <c r="H231" s="93">
        <f t="shared" si="157"/>
        <v>0</v>
      </c>
      <c r="I231" s="93">
        <f t="shared" si="157"/>
        <v>0</v>
      </c>
    </row>
    <row r="232" spans="2:9" outlineLevel="1" x14ac:dyDescent="0.2">
      <c r="B232" s="64" t="s">
        <v>92</v>
      </c>
      <c r="C232" s="425">
        <f>_xlfn.XLOOKUP($B232,DATA!$N$5:$N$93,DATA!P$5:P$93)</f>
        <v>-7551</v>
      </c>
      <c r="D232" s="93">
        <f>_xlfn.XLOOKUP($B232,DATA!$N$5:$N$93,DATA!Q$5:Q$93)</f>
        <v>-655</v>
      </c>
      <c r="E232" s="93">
        <f>_xlfn.XLOOKUP($B232,DATA!$N$5:$N$93,DATA!R$5:R$93)</f>
        <v>-8826</v>
      </c>
      <c r="F232" s="425">
        <f>IF(F321&gt;0,-F321,F321)</f>
        <v>-8914.26</v>
      </c>
      <c r="G232" s="93">
        <f t="shared" ref="G232:I232" si="158">IF(G321&gt;0,-G321,G321)</f>
        <v>-9003.4025999999994</v>
      </c>
      <c r="H232" s="93">
        <f t="shared" si="158"/>
        <v>-9093.4366259999988</v>
      </c>
      <c r="I232" s="93">
        <f t="shared" si="158"/>
        <v>-9184.3709922599992</v>
      </c>
    </row>
    <row r="233" spans="2:9" ht="24" outlineLevel="1" x14ac:dyDescent="0.2">
      <c r="B233" s="418" t="s">
        <v>94</v>
      </c>
      <c r="C233" s="265">
        <f>_xlfn.XLOOKUP($B233,DATA!$N$5:$N$93,DATA!P$5:P$93)</f>
        <v>-151130</v>
      </c>
      <c r="D233" s="203">
        <f>_xlfn.XLOOKUP($B233,DATA!$N$5:$N$93,DATA!Q$5:Q$93)</f>
        <v>-46126</v>
      </c>
      <c r="E233" s="203">
        <f>_xlfn.XLOOKUP($B233,DATA!$N$5:$N$93,DATA!R$5:R$93)</f>
        <v>-630433</v>
      </c>
      <c r="F233" s="425">
        <f>AVERAGE($C$233:E233)</f>
        <v>-275896.33333333331</v>
      </c>
      <c r="G233" s="203">
        <f>AVERAGE($C$233:F233)</f>
        <v>-275896.33333333331</v>
      </c>
      <c r="H233" s="203">
        <f>AVERAGE($C$233:G233)</f>
        <v>-275896.33333333331</v>
      </c>
      <c r="I233" s="203">
        <f>AVERAGE($C$233:H233)</f>
        <v>-275896.33333333331</v>
      </c>
    </row>
    <row r="234" spans="2:9" outlineLevel="1" x14ac:dyDescent="0.2">
      <c r="B234" s="417" t="s">
        <v>95</v>
      </c>
      <c r="C234" s="250"/>
      <c r="D234" s="115"/>
      <c r="E234" s="115"/>
      <c r="F234" s="220"/>
      <c r="G234" s="113"/>
      <c r="H234" s="113"/>
      <c r="I234" s="113"/>
    </row>
    <row r="235" spans="2:9" outlineLevel="1" x14ac:dyDescent="0.2">
      <c r="B235" s="64" t="s">
        <v>96</v>
      </c>
      <c r="C235" s="425">
        <f>_xlfn.XLOOKUP($B235,DATA!$N$5:$N$93,DATA!P$5:P$93)</f>
        <v>0</v>
      </c>
      <c r="D235" s="93">
        <f>_xlfn.XLOOKUP($B235,DATA!$N$5:$N$93,DATA!Q$5:Q$93)</f>
        <v>0</v>
      </c>
      <c r="E235" s="93">
        <f>_xlfn.XLOOKUP($B235,DATA!$N$5:$N$93,DATA!R$5:R$93)</f>
        <v>0</v>
      </c>
      <c r="F235" s="425">
        <f>E235</f>
        <v>0</v>
      </c>
      <c r="G235" s="93">
        <f t="shared" ref="G235:I235" si="159">F235</f>
        <v>0</v>
      </c>
      <c r="H235" s="93">
        <f t="shared" si="159"/>
        <v>0</v>
      </c>
      <c r="I235" s="93">
        <f t="shared" si="159"/>
        <v>0</v>
      </c>
    </row>
    <row r="236" spans="2:9" outlineLevel="1" x14ac:dyDescent="0.2">
      <c r="B236" s="64" t="s">
        <v>92</v>
      </c>
      <c r="C236" s="425">
        <f>_xlfn.XLOOKUP($B236,DATA!$N$5:$N$93,DATA!P$5:P$93)</f>
        <v>-7551</v>
      </c>
      <c r="D236" s="93">
        <f>_xlfn.XLOOKUP($B236,DATA!$N$5:$N$93,DATA!Q$5:Q$93)</f>
        <v>-655</v>
      </c>
      <c r="E236" s="93">
        <f>_xlfn.XLOOKUP($B236,DATA!$N$5:$N$93,DATA!R$5:R$93)</f>
        <v>-8826</v>
      </c>
      <c r="F236" s="425">
        <f>F232</f>
        <v>-8914.26</v>
      </c>
      <c r="G236" s="93">
        <f t="shared" ref="G236:I236" si="160">G232</f>
        <v>-9003.4025999999994</v>
      </c>
      <c r="H236" s="93">
        <f t="shared" si="160"/>
        <v>-9093.4366259999988</v>
      </c>
      <c r="I236" s="93">
        <f t="shared" si="160"/>
        <v>-9184.3709922599992</v>
      </c>
    </row>
    <row r="237" spans="2:9" ht="24" outlineLevel="1" x14ac:dyDescent="0.2">
      <c r="B237" s="418" t="s">
        <v>94</v>
      </c>
      <c r="C237" s="265">
        <f>_xlfn.XLOOKUP($B237,DATA!$N$5:$N$93,DATA!P$5:P$93)</f>
        <v>-151130</v>
      </c>
      <c r="D237" s="203">
        <f>_xlfn.XLOOKUP($B237,DATA!$N$5:$N$93,DATA!Q$5:Q$93)</f>
        <v>-46126</v>
      </c>
      <c r="E237" s="203">
        <f>_xlfn.XLOOKUP($B237,DATA!$N$5:$N$93,DATA!R$5:R$93)</f>
        <v>-630433</v>
      </c>
      <c r="F237" s="265">
        <f>F233</f>
        <v>-275896.33333333331</v>
      </c>
      <c r="G237" s="203">
        <f t="shared" ref="G237:I237" si="161">G233</f>
        <v>-275896.33333333331</v>
      </c>
      <c r="H237" s="203">
        <f t="shared" si="161"/>
        <v>-275896.33333333331</v>
      </c>
      <c r="I237" s="203">
        <f t="shared" si="161"/>
        <v>-275896.33333333331</v>
      </c>
    </row>
    <row r="238" spans="2:9" outlineLevel="1" x14ac:dyDescent="0.2">
      <c r="B238" s="419" t="s">
        <v>2</v>
      </c>
      <c r="C238" s="250">
        <f>_xlfn.XLOOKUP($B238,DATA!$N$5:$N$93,DATA!P$5:P$93)</f>
        <v>-3416767</v>
      </c>
      <c r="D238" s="115">
        <f>_xlfn.XLOOKUP($B238,DATA!$N$5:$N$93,DATA!Q$5:Q$93)</f>
        <v>-5772137</v>
      </c>
      <c r="E238" s="115">
        <f>_xlfn.XLOOKUP($B238,DATA!$N$5:$N$93,DATA!R$5:R$93)</f>
        <v>-6759161</v>
      </c>
      <c r="F238" s="250">
        <f>IF(F35&gt;0,-F35,F35)</f>
        <v>-8550338.665000001</v>
      </c>
      <c r="G238" s="115">
        <f t="shared" ref="G238:I238" si="162">IF(G35&gt;0,-G35,G35)</f>
        <v>-10534017.235280003</v>
      </c>
      <c r="H238" s="115">
        <f t="shared" si="162"/>
        <v>-12746160.854688806</v>
      </c>
      <c r="I238" s="115">
        <f t="shared" si="162"/>
        <v>-15282646.864771882</v>
      </c>
    </row>
    <row r="239" spans="2:9" outlineLevel="1" x14ac:dyDescent="0.2">
      <c r="B239" s="420" t="s">
        <v>3</v>
      </c>
      <c r="C239" s="265">
        <f>_xlfn.XLOOKUP($B239,DATA!$N$5:$N$93,DATA!P$5:P$93)</f>
        <v>319542</v>
      </c>
      <c r="D239" s="203">
        <f>_xlfn.XLOOKUP($B239,DATA!$N$5:$N$93,DATA!Q$5:Q$93)</f>
        <v>559928</v>
      </c>
      <c r="E239" s="203">
        <f>_xlfn.XLOOKUP($B239,DATA!$N$5:$N$93,DATA!R$5:R$93)</f>
        <v>791837</v>
      </c>
      <c r="F239" s="265">
        <f>IF(F36&gt;0,F36,-F36)</f>
        <v>855906.51126249996</v>
      </c>
      <c r="G239" s="203">
        <f t="shared" ref="G239:I239" si="163">IF(G36&gt;0,G36,-G36)</f>
        <v>923869.12585941539</v>
      </c>
      <c r="H239" s="203">
        <f t="shared" si="163"/>
        <v>995370.36008433462</v>
      </c>
      <c r="I239" s="203">
        <f t="shared" si="163"/>
        <v>1070904.0398593347</v>
      </c>
    </row>
    <row r="240" spans="2:9" outlineLevel="1" x14ac:dyDescent="0.2">
      <c r="B240" s="430" t="s">
        <v>8</v>
      </c>
      <c r="C240" s="268">
        <f>_xlfn.XLOOKUP($B240,DATA!$N$5:$N$93,DATA!P$5:P$93)</f>
        <v>1006</v>
      </c>
      <c r="D240" s="119">
        <f>_xlfn.XLOOKUP($B240,DATA!$N$5:$N$93,DATA!Q$5:Q$93)</f>
        <v>6356</v>
      </c>
      <c r="E240" s="119">
        <f>_xlfn.XLOOKUP($B240,DATA!$N$5:$N$93,DATA!R$5:R$93)</f>
        <v>-70002</v>
      </c>
      <c r="F240" s="268">
        <f>IF(F43&gt;0,-F43,F43)</f>
        <v>-59274.631911120639</v>
      </c>
      <c r="G240" s="119">
        <f t="shared" ref="G240:I240" si="164">IF(G43&gt;0,-G43,G43)</f>
        <v>-59384.466968627421</v>
      </c>
      <c r="H240" s="119">
        <f t="shared" si="164"/>
        <v>-59494.505548947731</v>
      </c>
      <c r="I240" s="119">
        <f t="shared" si="164"/>
        <v>-59604.748029206479</v>
      </c>
    </row>
    <row r="241" spans="2:9" outlineLevel="1" x14ac:dyDescent="0.2">
      <c r="B241" s="19"/>
      <c r="C241" s="425"/>
      <c r="D241" s="93"/>
      <c r="E241" s="93"/>
      <c r="F241" s="426"/>
    </row>
    <row r="242" spans="2:9" ht="24" outlineLevel="1" x14ac:dyDescent="0.2">
      <c r="B242" s="417" t="s">
        <v>11</v>
      </c>
      <c r="C242" s="250"/>
      <c r="D242" s="115"/>
      <c r="E242" s="115"/>
      <c r="F242" s="250"/>
      <c r="G242" s="115"/>
      <c r="H242" s="115"/>
      <c r="I242" s="115"/>
    </row>
    <row r="243" spans="2:9" outlineLevel="1" x14ac:dyDescent="0.2">
      <c r="B243" s="64" t="s">
        <v>101</v>
      </c>
      <c r="C243" s="425">
        <f>_xlfn.XLOOKUP($B243,DATA!$N$5:$N$93,DATA!P$5:P$93)</f>
        <v>2977881</v>
      </c>
      <c r="D243" s="93">
        <f>_xlfn.XLOOKUP($B243,DATA!$N$5:$N$93,DATA!Q$5:Q$93)</f>
        <v>4291408</v>
      </c>
      <c r="E243" s="93">
        <f>_xlfn.XLOOKUP($B243,DATA!$N$5:$N$93,DATA!R$5:R$93)</f>
        <v>2700291</v>
      </c>
      <c r="F243" s="425">
        <f>F327</f>
        <v>2836523.9703199524</v>
      </c>
      <c r="G243" s="93">
        <f t="shared" ref="G243:I243" si="165">G327</f>
        <v>2980747.5496022524</v>
      </c>
      <c r="H243" s="93">
        <f t="shared" si="165"/>
        <v>3115344.1968235327</v>
      </c>
      <c r="I243" s="93">
        <f t="shared" si="165"/>
        <v>3267426.7161299842</v>
      </c>
    </row>
    <row r="244" spans="2:9" outlineLevel="1" x14ac:dyDescent="0.2">
      <c r="B244" s="418" t="s">
        <v>102</v>
      </c>
      <c r="C244" s="265">
        <f>_xlfn.XLOOKUP($B244,DATA!$N$5:$N$93,DATA!P$5:P$93)</f>
        <v>-1983855</v>
      </c>
      <c r="D244" s="203">
        <f>_xlfn.XLOOKUP($B244,DATA!$N$5:$N$93,DATA!Q$5:Q$93)</f>
        <v>-3524517</v>
      </c>
      <c r="E244" s="203">
        <f>_xlfn.XLOOKUP($B244,DATA!$N$5:$N$93,DATA!R$5:R$93)</f>
        <v>-2029832</v>
      </c>
      <c r="F244" s="265">
        <f>F330</f>
        <v>-2117183.0631763837</v>
      </c>
      <c r="G244" s="203">
        <f t="shared" ref="G244:I244" si="166">G330</f>
        <v>-2224831.6226675697</v>
      </c>
      <c r="H244" s="203">
        <f t="shared" si="166"/>
        <v>-2325294.6347340876</v>
      </c>
      <c r="I244" s="203">
        <f t="shared" si="166"/>
        <v>-2438809.1114139711</v>
      </c>
    </row>
    <row r="245" spans="2:9" ht="24" outlineLevel="1" x14ac:dyDescent="0.2">
      <c r="B245" s="417" t="s">
        <v>316</v>
      </c>
      <c r="C245" s="250"/>
      <c r="D245" s="115"/>
      <c r="E245" s="115"/>
      <c r="F245" s="250"/>
      <c r="G245" s="115"/>
      <c r="H245" s="115"/>
      <c r="I245" s="115"/>
    </row>
    <row r="246" spans="2:9" outlineLevel="1" x14ac:dyDescent="0.2">
      <c r="B246" s="64" t="s">
        <v>104</v>
      </c>
      <c r="C246" s="425">
        <f>_xlfn.XLOOKUP($B246,DATA!$N$5:$N$93,DATA!P$5:P$93)</f>
        <v>9734</v>
      </c>
      <c r="D246" s="93">
        <f>_xlfn.XLOOKUP($B246,DATA!$N$5:$N$93,DATA!Q$5:Q$93)</f>
        <v>6769</v>
      </c>
      <c r="E246" s="93">
        <f>_xlfn.XLOOKUP($B246,DATA!$N$5:$N$93,DATA!R$5:R$93)</f>
        <v>19290</v>
      </c>
      <c r="F246" s="425">
        <f>AVERAGE($C$246:E246)</f>
        <v>11931</v>
      </c>
      <c r="G246" s="93">
        <f>AVERAGE($C$246:F246)</f>
        <v>11931</v>
      </c>
      <c r="H246" s="93">
        <f>AVERAGE($C$246:G246)</f>
        <v>11931</v>
      </c>
      <c r="I246" s="93">
        <f>AVERAGE($C$246:H246)</f>
        <v>11931</v>
      </c>
    </row>
    <row r="247" spans="2:9" outlineLevel="1" x14ac:dyDescent="0.2">
      <c r="B247" s="418" t="s">
        <v>106</v>
      </c>
      <c r="C247" s="265">
        <f>_xlfn.XLOOKUP($B247,DATA!$N$5:$N$93,DATA!P$5:P$93)</f>
        <v>0</v>
      </c>
      <c r="D247" s="203">
        <f>_xlfn.XLOOKUP($B247,DATA!$N$5:$N$93,DATA!Q$5:Q$93)</f>
        <v>0</v>
      </c>
      <c r="E247" s="203">
        <f>_xlfn.XLOOKUP($B247,DATA!$N$5:$N$93,DATA!R$5:R$93)</f>
        <v>0</v>
      </c>
      <c r="F247" s="441">
        <v>0</v>
      </c>
      <c r="G247" s="442">
        <v>0</v>
      </c>
      <c r="H247" s="442">
        <v>0</v>
      </c>
      <c r="I247" s="442">
        <v>0</v>
      </c>
    </row>
    <row r="248" spans="2:9" x14ac:dyDescent="0.2">
      <c r="B248" s="433" t="s">
        <v>107</v>
      </c>
      <c r="C248" s="250"/>
      <c r="D248" s="115"/>
      <c r="E248" s="115"/>
      <c r="F248" s="250"/>
      <c r="G248" s="115"/>
      <c r="H248" s="115"/>
      <c r="I248" s="115"/>
    </row>
    <row r="249" spans="2:9" x14ac:dyDescent="0.2">
      <c r="B249" s="64" t="s">
        <v>108</v>
      </c>
      <c r="C249" s="425">
        <f>_xlfn.XLOOKUP($B249,DATA!$N$5:$N$93,DATA!P$5:P$93)</f>
        <v>209</v>
      </c>
      <c r="D249" s="93">
        <f>_xlfn.XLOOKUP($B249,DATA!$N$5:$N$93,DATA!Q$5:Q$93)</f>
        <v>10283</v>
      </c>
      <c r="E249" s="93">
        <f>_xlfn.XLOOKUP($B249,DATA!$N$5:$N$93,DATA!R$5:R$93)</f>
        <v>10513</v>
      </c>
      <c r="F249" s="425">
        <f>F333</f>
        <v>10647.882327535573</v>
      </c>
      <c r="G249" s="93">
        <f t="shared" ref="G249:I249" si="167">G333</f>
        <v>10785.486751439932</v>
      </c>
      <c r="H249" s="93">
        <f t="shared" si="167"/>
        <v>10925.640102253321</v>
      </c>
      <c r="I249" s="93">
        <f t="shared" si="167"/>
        <v>11068.265807352795</v>
      </c>
    </row>
    <row r="250" spans="2:9" x14ac:dyDescent="0.2">
      <c r="B250" s="418" t="s">
        <v>110</v>
      </c>
      <c r="C250" s="265">
        <f>_xlfn.XLOOKUP($B250,DATA!$N$5:$N$93,DATA!P$5:P$93)</f>
        <v>-3099</v>
      </c>
      <c r="D250" s="203">
        <f>_xlfn.XLOOKUP($B250,DATA!$N$5:$N$93,DATA!Q$5:Q$93)</f>
        <v>-449</v>
      </c>
      <c r="E250" s="203">
        <f>_xlfn.XLOOKUP($B250,DATA!$N$5:$N$93,DATA!R$5:R$93)</f>
        <v>-603</v>
      </c>
      <c r="F250" s="265">
        <f>F337</f>
        <v>-1053.0795341247745</v>
      </c>
      <c r="G250" s="203">
        <f t="shared" ref="G250:I250" si="168">G337</f>
        <v>-1839.0986819111972</v>
      </c>
      <c r="H250" s="203">
        <f t="shared" si="168"/>
        <v>-3211.802957141841</v>
      </c>
      <c r="I250" s="203">
        <f t="shared" si="168"/>
        <v>-5609.0944640257094</v>
      </c>
    </row>
    <row r="251" spans="2:9" x14ac:dyDescent="0.2">
      <c r="B251" s="420" t="s">
        <v>111</v>
      </c>
      <c r="C251" s="265">
        <f>_xlfn.XLOOKUP($B251,DATA!$N$5:$N$93,DATA!P$5:P$93)</f>
        <v>-2870</v>
      </c>
      <c r="D251" s="203">
        <f>_xlfn.XLOOKUP($B251,DATA!$N$5:$N$93,DATA!Q$5:Q$93)</f>
        <v>-3220</v>
      </c>
      <c r="E251" s="203">
        <f>_xlfn.XLOOKUP($B251,DATA!$N$5:$N$93,DATA!R$5:R$93)</f>
        <v>-307</v>
      </c>
      <c r="F251" s="266">
        <f>AVERAGE(C251:E251)</f>
        <v>-2132.3333333333335</v>
      </c>
      <c r="G251" s="267">
        <f t="shared" ref="G251:I251" si="169">AVERAGE(D251:F251)</f>
        <v>-1886.4444444444446</v>
      </c>
      <c r="H251" s="267">
        <f t="shared" si="169"/>
        <v>-1441.9259259259261</v>
      </c>
      <c r="I251" s="267">
        <f t="shared" si="169"/>
        <v>-1820.2345679012349</v>
      </c>
    </row>
    <row r="252" spans="2:9" x14ac:dyDescent="0.2">
      <c r="B252"/>
      <c r="C252" s="425"/>
      <c r="D252" s="93"/>
      <c r="E252" s="93"/>
      <c r="F252" s="426"/>
    </row>
    <row r="253" spans="2:9" x14ac:dyDescent="0.2">
      <c r="B253" s="419" t="s">
        <v>112</v>
      </c>
      <c r="C253" s="250">
        <f>_xlfn.XLOOKUP($B253,DATA!$N$5:$N$93,DATA!P$5:P$93)</f>
        <v>1655</v>
      </c>
      <c r="D253" s="115">
        <f>_xlfn.XLOOKUP($B253,DATA!$N$5:$N$93,DATA!Q$5:Q$93)</f>
        <v>-7308</v>
      </c>
      <c r="E253" s="115">
        <f>_xlfn.XLOOKUP($B253,DATA!$N$5:$N$93,DATA!R$5:R$93)</f>
        <v>7809</v>
      </c>
      <c r="F253" s="437">
        <f>F340</f>
        <v>526.53976706238723</v>
      </c>
      <c r="G253" s="438">
        <f>AVERAGE($C$253:F253)</f>
        <v>670.63494176559675</v>
      </c>
      <c r="H253" s="438">
        <f>AVERAGE($C$253:G253)</f>
        <v>670.63494176559675</v>
      </c>
      <c r="I253" s="438">
        <f>AVERAGE($C$253:H253)</f>
        <v>670.63494176559664</v>
      </c>
    </row>
    <row r="254" spans="2:9" x14ac:dyDescent="0.2">
      <c r="B254" s="19" t="s">
        <v>113</v>
      </c>
      <c r="C254" s="425">
        <f>_xlfn.XLOOKUP($B254,DATA!$N$5:$N$93,DATA!P$5:P$93)</f>
        <v>3321957</v>
      </c>
      <c r="D254" s="93">
        <f>_xlfn.XLOOKUP($B254,DATA!$N$5:$N$93,DATA!Q$5:Q$93)</f>
        <v>5401969</v>
      </c>
      <c r="E254" s="93">
        <f>_xlfn.XLOOKUP($B254,DATA!$N$5:$N$93,DATA!R$5:R$93)</f>
        <v>6377586</v>
      </c>
      <c r="F254" s="425">
        <f>F343</f>
        <v>8127576.8205954516</v>
      </c>
      <c r="G254" s="93">
        <f t="shared" ref="G254:I254" si="170">G343</f>
        <v>10013174.642973598</v>
      </c>
      <c r="H254" s="93">
        <f t="shared" si="170"/>
        <v>12115941.317998057</v>
      </c>
      <c r="I254" s="93">
        <f t="shared" si="170"/>
        <v>14527013.640279675</v>
      </c>
    </row>
    <row r="255" spans="2:9" x14ac:dyDescent="0.2">
      <c r="B255" s="420" t="s">
        <v>114</v>
      </c>
      <c r="C255" s="265">
        <f>_xlfn.XLOOKUP($B255,DATA!$N$5:$N$93,DATA!P$5:P$93)</f>
        <v>-345882</v>
      </c>
      <c r="D255" s="203">
        <f>_xlfn.XLOOKUP($B255,DATA!$N$5:$N$93,DATA!Q$5:Q$93)</f>
        <v>-453206</v>
      </c>
      <c r="E255" s="203">
        <f>_xlfn.XLOOKUP($B255,DATA!$N$5:$N$93,DATA!R$5:R$93)</f>
        <v>-594775</v>
      </c>
      <c r="F255" s="265">
        <f>F346</f>
        <v>-754043.39338737866</v>
      </c>
      <c r="G255" s="203">
        <f t="shared" ref="G255:I255" si="171">G346</f>
        <v>-813917.6435067585</v>
      </c>
      <c r="H255" s="203">
        <f t="shared" si="171"/>
        <v>-876909.37517008791</v>
      </c>
      <c r="I255" s="203">
        <f t="shared" si="171"/>
        <v>-943453.64310487034</v>
      </c>
    </row>
    <row r="256" spans="2:9" x14ac:dyDescent="0.2">
      <c r="B256" s="97" t="s">
        <v>115</v>
      </c>
      <c r="C256" s="268">
        <f>_xlfn.XLOOKUP($B256,DATA!$N$5:$N$93,DATA!P$5:P$93)</f>
        <v>3185426</v>
      </c>
      <c r="D256" s="119">
        <f>_xlfn.XLOOKUP($B256,DATA!$N$5:$N$93,DATA!Q$5:Q$93)</f>
        <v>4535909</v>
      </c>
      <c r="E256" s="119">
        <f>_xlfn.XLOOKUP($B256,DATA!$N$5:$N$93,DATA!R$5:R$93)</f>
        <v>5461421</v>
      </c>
      <c r="F256" s="268">
        <f>SUM(F224:F255)</f>
        <v>7198609.4421339072</v>
      </c>
      <c r="G256" s="119">
        <f t="shared" ref="G256:I256" si="172">SUM(G224:G255)</f>
        <v>9310966.8295317981</v>
      </c>
      <c r="H256" s="119">
        <f t="shared" si="172"/>
        <v>11702810.461431218</v>
      </c>
      <c r="I256" s="119">
        <f t="shared" si="172"/>
        <v>14475551.622610349</v>
      </c>
    </row>
    <row r="257" spans="2:9" x14ac:dyDescent="0.2">
      <c r="B257" s="417" t="s">
        <v>116</v>
      </c>
      <c r="C257" s="250"/>
      <c r="D257" s="115"/>
      <c r="E257" s="115"/>
      <c r="F257" s="220"/>
      <c r="G257" s="113"/>
      <c r="H257" s="113"/>
      <c r="I257" s="113"/>
    </row>
    <row r="258" spans="2:9" x14ac:dyDescent="0.2">
      <c r="B258" s="19" t="s">
        <v>31</v>
      </c>
      <c r="C258" s="425">
        <f>_xlfn.XLOOKUP($B258,DATA!$N$5:$N$93,DATA!P$5:P$93)</f>
        <v>13273</v>
      </c>
      <c r="D258" s="93">
        <f>_xlfn.XLOOKUP($B258,DATA!$N$5:$N$93,DATA!Q$5:Q$93)</f>
        <v>7031</v>
      </c>
      <c r="E258" s="93">
        <f>_xlfn.XLOOKUP($B258,DATA!$N$5:$N$93,DATA!R$5:R$93)</f>
        <v>-66277</v>
      </c>
      <c r="F258" s="425">
        <f>F122-E122</f>
        <v>-12677.988640662981</v>
      </c>
      <c r="G258" s="93">
        <f t="shared" ref="G258:I258" si="173">G122-F122</f>
        <v>-12036.691950365232</v>
      </c>
      <c r="H258" s="93">
        <f t="shared" si="173"/>
        <v>-11427.834273592656</v>
      </c>
      <c r="I258" s="93">
        <f t="shared" si="173"/>
        <v>-10849.774732395366</v>
      </c>
    </row>
    <row r="259" spans="2:9" x14ac:dyDescent="0.2">
      <c r="B259" s="19" t="s">
        <v>33</v>
      </c>
      <c r="C259" s="425">
        <f>_xlfn.XLOOKUP($B259,DATA!$N$5:$N$93,DATA!P$5:P$93)</f>
        <v>0</v>
      </c>
      <c r="D259" s="93">
        <f>_xlfn.XLOOKUP($B259,DATA!$N$5:$N$93,DATA!Q$5:Q$93)</f>
        <v>0</v>
      </c>
      <c r="E259" s="93">
        <f>_xlfn.XLOOKUP($B259,DATA!$N$5:$N$93,DATA!R$5:R$93)</f>
        <v>0</v>
      </c>
      <c r="F259" s="425">
        <f>F124-E124</f>
        <v>0</v>
      </c>
      <c r="G259" s="93">
        <f t="shared" ref="G259:I259" si="174">G124-F124</f>
        <v>0</v>
      </c>
      <c r="H259" s="93">
        <f t="shared" si="174"/>
        <v>0</v>
      </c>
      <c r="I259" s="93">
        <f t="shared" si="174"/>
        <v>0</v>
      </c>
    </row>
    <row r="260" spans="2:9" x14ac:dyDescent="0.2">
      <c r="B260" s="19" t="s">
        <v>117</v>
      </c>
      <c r="C260" s="425">
        <f>_xlfn.XLOOKUP($B260,DATA!$N$5:$N$93,DATA!P$5:P$93)</f>
        <v>2333115</v>
      </c>
      <c r="D260" s="93">
        <f>_xlfn.XLOOKUP($B260,DATA!$N$5:$N$93,DATA!Q$5:Q$93)</f>
        <v>-2515122</v>
      </c>
      <c r="E260" s="93">
        <f>_xlfn.XLOOKUP($B260,DATA!$N$5:$N$93,DATA!R$5:R$93)</f>
        <v>-1670447</v>
      </c>
      <c r="F260" s="425">
        <f>F351</f>
        <v>-120530.77414774355</v>
      </c>
      <c r="G260" s="93">
        <f t="shared" ref="G260:I260" si="175">G351</f>
        <v>-98835.234801149854</v>
      </c>
      <c r="H260" s="93">
        <f t="shared" si="175"/>
        <v>-100811.93949717324</v>
      </c>
      <c r="I260" s="93">
        <f t="shared" si="175"/>
        <v>-102828.17828711629</v>
      </c>
    </row>
    <row r="261" spans="2:9" x14ac:dyDescent="0.2">
      <c r="B261" s="19" t="s">
        <v>118</v>
      </c>
      <c r="C261" s="425">
        <f>_xlfn.XLOOKUP($B261,DATA!$N$5:$N$93,DATA!P$5:P$93)</f>
        <v>-7101644</v>
      </c>
      <c r="D261" s="93">
        <f>_xlfn.XLOOKUP($B261,DATA!$N$5:$N$93,DATA!Q$5:Q$93)</f>
        <v>-974379</v>
      </c>
      <c r="E261" s="93">
        <f>_xlfn.XLOOKUP($B261,DATA!$N$5:$N$93,DATA!R$5:R$93)</f>
        <v>-11394994</v>
      </c>
      <c r="F261" s="425">
        <f>F356</f>
        <v>-11087656.991124988</v>
      </c>
      <c r="G261" s="93">
        <f t="shared" ref="G261:I261" si="176">G356</f>
        <v>-10411790.6382562</v>
      </c>
      <c r="H261" s="93">
        <f t="shared" si="176"/>
        <v>-10190452.347384512</v>
      </c>
      <c r="I261" s="93">
        <f t="shared" si="176"/>
        <v>-10477756.280942408</v>
      </c>
    </row>
    <row r="262" spans="2:9" x14ac:dyDescent="0.2">
      <c r="B262" s="19" t="s">
        <v>40</v>
      </c>
      <c r="C262" s="425">
        <f>_xlfn.XLOOKUP($B262,DATA!$N$5:$N$93,DATA!P$5:P$93)</f>
        <v>0</v>
      </c>
      <c r="D262" s="93">
        <f>_xlfn.XLOOKUP($B262,DATA!$N$5:$N$93,DATA!Q$5:Q$93)</f>
        <v>0</v>
      </c>
      <c r="E262" s="93">
        <f>_xlfn.XLOOKUP($B262,DATA!$N$5:$N$93,DATA!R$5:R$93)</f>
        <v>0</v>
      </c>
      <c r="F262" s="425">
        <f>F133-E133</f>
        <v>0</v>
      </c>
      <c r="G262" s="93">
        <f t="shared" ref="G262:I262" si="177">G133-F133</f>
        <v>0</v>
      </c>
      <c r="H262" s="93">
        <f t="shared" si="177"/>
        <v>0</v>
      </c>
      <c r="I262" s="93">
        <f t="shared" si="177"/>
        <v>0</v>
      </c>
    </row>
    <row r="263" spans="2:9" x14ac:dyDescent="0.2">
      <c r="B263" s="19" t="s">
        <v>119</v>
      </c>
      <c r="C263" s="425">
        <f>_xlfn.XLOOKUP($B263,DATA!$N$5:$N$93,DATA!P$5:P$93)</f>
        <v>111969</v>
      </c>
      <c r="D263" s="93">
        <f>_xlfn.XLOOKUP($B263,DATA!$N$5:$N$93,DATA!Q$5:Q$93)</f>
        <v>-1934848</v>
      </c>
      <c r="E263" s="93">
        <f>_xlfn.XLOOKUP($B263,DATA!$N$5:$N$93,DATA!R$5:R$93)</f>
        <v>618506</v>
      </c>
      <c r="F263" s="439">
        <f>F361</f>
        <v>-78.682499999999891</v>
      </c>
      <c r="G263" s="440">
        <f t="shared" ref="G263:I263" si="178">G361</f>
        <v>-64.519650000000183</v>
      </c>
      <c r="H263" s="440">
        <f t="shared" si="178"/>
        <v>-65.810042999999851</v>
      </c>
      <c r="I263" s="440">
        <f t="shared" si="178"/>
        <v>-67.126243860000244</v>
      </c>
    </row>
    <row r="264" spans="2:9" x14ac:dyDescent="0.2">
      <c r="B264" s="19" t="s">
        <v>120</v>
      </c>
      <c r="C264" s="425">
        <f>_xlfn.XLOOKUP($B264,DATA!$N$5:$N$93,DATA!P$5:P$93)</f>
        <v>-1907029</v>
      </c>
      <c r="D264" s="93">
        <f>_xlfn.XLOOKUP($B264,DATA!$N$5:$N$93,DATA!Q$5:Q$93)</f>
        <v>-2162139</v>
      </c>
      <c r="E264" s="93">
        <f>_xlfn.XLOOKUP($B264,DATA!$N$5:$N$93,DATA!R$5:R$93)</f>
        <v>-142768</v>
      </c>
      <c r="F264" s="425">
        <f>F364</f>
        <v>-180601.52</v>
      </c>
      <c r="G264" s="93">
        <f t="shared" ref="G264:I264" si="179">G364</f>
        <v>-222501.07264000003</v>
      </c>
      <c r="H264" s="93">
        <f t="shared" si="179"/>
        <v>-269226.29789440008</v>
      </c>
      <c r="I264" s="93">
        <f t="shared" si="179"/>
        <v>-322802.33117538574</v>
      </c>
    </row>
    <row r="265" spans="2:9" x14ac:dyDescent="0.2">
      <c r="B265" s="19" t="s">
        <v>121</v>
      </c>
      <c r="C265" s="425">
        <f>_xlfn.XLOOKUP($B265,DATA!$N$5:$N$93,DATA!P$5:P$93)</f>
        <v>0</v>
      </c>
      <c r="D265" s="93">
        <f>_xlfn.XLOOKUP($B265,DATA!$N$5:$N$93,DATA!Q$5:Q$93)</f>
        <v>0</v>
      </c>
      <c r="E265" s="93">
        <f>_xlfn.XLOOKUP($B265,DATA!$N$5:$N$93,DATA!R$5:R$93)</f>
        <v>0</v>
      </c>
      <c r="F265" s="425">
        <f>E265</f>
        <v>0</v>
      </c>
      <c r="G265" s="93">
        <f t="shared" ref="G265:I265" si="180">F265</f>
        <v>0</v>
      </c>
      <c r="H265" s="93">
        <f t="shared" si="180"/>
        <v>0</v>
      </c>
      <c r="I265" s="93">
        <f t="shared" si="180"/>
        <v>0</v>
      </c>
    </row>
    <row r="266" spans="2:9" x14ac:dyDescent="0.2">
      <c r="B266" s="19" t="s">
        <v>122</v>
      </c>
      <c r="C266" s="425">
        <f>_xlfn.XLOOKUP($B266,DATA!$N$5:$N$93,DATA!P$5:P$93)</f>
        <v>200266</v>
      </c>
      <c r="D266" s="93">
        <f>_xlfn.XLOOKUP($B266,DATA!$N$5:$N$93,DATA!Q$5:Q$93)</f>
        <v>-260834</v>
      </c>
      <c r="E266" s="93">
        <f>_xlfn.XLOOKUP($B266,DATA!$N$5:$N$93,DATA!R$5:R$93)</f>
        <v>-429891</v>
      </c>
      <c r="F266" s="425">
        <f>-(F131-E131)</f>
        <v>-338665.40775340656</v>
      </c>
      <c r="G266" s="93">
        <f t="shared" ref="G266:I266" si="181">-(G131-F131)</f>
        <v>-377627.32419435121</v>
      </c>
      <c r="H266" s="93">
        <f t="shared" si="181"/>
        <v>-421071.63209895743</v>
      </c>
      <c r="I266" s="93">
        <f t="shared" si="181"/>
        <v>-469514.01023944188</v>
      </c>
    </row>
    <row r="267" spans="2:9" x14ac:dyDescent="0.2">
      <c r="B267" s="19" t="s">
        <v>44</v>
      </c>
      <c r="C267" s="425">
        <f>_xlfn.XLOOKUP($B267,DATA!$N$5:$N$93,DATA!P$5:P$93)</f>
        <v>0</v>
      </c>
      <c r="D267" s="93">
        <f>_xlfn.XLOOKUP($B267,DATA!$N$5:$N$93,DATA!Q$5:Q$93)</f>
        <v>0</v>
      </c>
      <c r="E267" s="93">
        <f>_xlfn.XLOOKUP($B267,DATA!$N$5:$N$93,DATA!R$5:R$93)</f>
        <v>0</v>
      </c>
      <c r="F267" s="425">
        <f>F139-E139</f>
        <v>0</v>
      </c>
      <c r="G267" s="93">
        <f t="shared" ref="G267:I267" si="182">G139-F139</f>
        <v>0</v>
      </c>
      <c r="H267" s="93">
        <f t="shared" si="182"/>
        <v>0</v>
      </c>
      <c r="I267" s="93">
        <f t="shared" si="182"/>
        <v>0</v>
      </c>
    </row>
    <row r="268" spans="2:9" x14ac:dyDescent="0.2">
      <c r="B268" s="420" t="s">
        <v>45</v>
      </c>
      <c r="C268" s="265">
        <f>_xlfn.XLOOKUP($B268,DATA!$N$5:$N$93,DATA!P$5:P$93)</f>
        <v>3452</v>
      </c>
      <c r="D268" s="203">
        <f>_xlfn.XLOOKUP($B268,DATA!$N$5:$N$93,DATA!Q$5:Q$93)</f>
        <v>0</v>
      </c>
      <c r="E268" s="203">
        <f>_xlfn.XLOOKUP($B268,DATA!$N$5:$N$93,DATA!R$5:R$93)</f>
        <v>1868</v>
      </c>
      <c r="F268" s="265">
        <v>0</v>
      </c>
      <c r="G268" s="203">
        <f t="shared" ref="G268:I268" si="183">F268</f>
        <v>0</v>
      </c>
      <c r="H268" s="203">
        <f t="shared" si="183"/>
        <v>0</v>
      </c>
      <c r="I268" s="203">
        <f t="shared" si="183"/>
        <v>0</v>
      </c>
    </row>
    <row r="269" spans="2:9" x14ac:dyDescent="0.2">
      <c r="B269" s="417" t="s">
        <v>124</v>
      </c>
      <c r="C269" s="250"/>
      <c r="D269" s="115"/>
      <c r="E269" s="115"/>
      <c r="F269" s="220"/>
      <c r="G269" s="113"/>
      <c r="H269" s="113"/>
      <c r="I269" s="113"/>
    </row>
    <row r="270" spans="2:9" x14ac:dyDescent="0.2">
      <c r="B270" s="19" t="s">
        <v>48</v>
      </c>
      <c r="C270" s="425">
        <f>_xlfn.XLOOKUP($B270,DATA!$N$5:$N$93,DATA!P$5:P$93)</f>
        <v>-2623</v>
      </c>
      <c r="D270" s="93">
        <f>_xlfn.XLOOKUP($B270,DATA!$N$5:$N$93,DATA!Q$5:Q$93)</f>
        <v>599</v>
      </c>
      <c r="E270" s="93">
        <f>_xlfn.XLOOKUP($B270,DATA!$N$5:$N$93,DATA!R$5:R$93)</f>
        <v>1048</v>
      </c>
      <c r="F270" s="425">
        <f>F143-E143</f>
        <v>0</v>
      </c>
      <c r="G270" s="93">
        <f t="shared" ref="G270:I270" si="184">G143-F143</f>
        <v>0</v>
      </c>
      <c r="H270" s="93">
        <f t="shared" si="184"/>
        <v>0</v>
      </c>
      <c r="I270" s="93">
        <f t="shared" si="184"/>
        <v>0</v>
      </c>
    </row>
    <row r="271" spans="2:9" x14ac:dyDescent="0.2">
      <c r="B271" s="19" t="s">
        <v>125</v>
      </c>
      <c r="C271" s="425">
        <f>_xlfn.XLOOKUP($B271,DATA!$N$5:$N$93,DATA!P$5:P$93)</f>
        <v>0</v>
      </c>
      <c r="D271" s="93">
        <f>_xlfn.XLOOKUP($B271,DATA!$N$5:$N$93,DATA!Q$5:Q$93)</f>
        <v>0</v>
      </c>
      <c r="E271" s="93">
        <f>_xlfn.XLOOKUP($B271,DATA!$N$5:$N$93,DATA!R$5:R$93)</f>
        <v>0</v>
      </c>
      <c r="F271" s="425">
        <f>F145-E145</f>
        <v>0</v>
      </c>
      <c r="G271" s="93">
        <f t="shared" ref="G271:I271" si="185">G145-F145</f>
        <v>0</v>
      </c>
      <c r="H271" s="93">
        <f t="shared" si="185"/>
        <v>0</v>
      </c>
      <c r="I271" s="93">
        <f t="shared" si="185"/>
        <v>0</v>
      </c>
    </row>
    <row r="272" spans="2:9" x14ac:dyDescent="0.2">
      <c r="B272" s="19" t="s">
        <v>126</v>
      </c>
      <c r="C272" s="425">
        <f>_xlfn.XLOOKUP($B272,DATA!$N$5:$N$93,DATA!P$5:P$93)</f>
        <v>-81008</v>
      </c>
      <c r="D272" s="93">
        <f>_xlfn.XLOOKUP($B272,DATA!$N$5:$N$93,DATA!Q$5:Q$93)</f>
        <v>260902</v>
      </c>
      <c r="E272" s="93">
        <f>_xlfn.XLOOKUP($B272,DATA!$N$5:$N$93,DATA!R$5:R$93)</f>
        <v>712066</v>
      </c>
      <c r="F272" s="425">
        <f>-(F147-E147)</f>
        <v>-30835.324999999953</v>
      </c>
      <c r="G272" s="93">
        <f t="shared" ref="G272:I272" si="186">-(G147-F147)</f>
        <v>-25284.966500000097</v>
      </c>
      <c r="H272" s="93">
        <f t="shared" si="186"/>
        <v>-25790.665830000071</v>
      </c>
      <c r="I272" s="93">
        <f t="shared" si="186"/>
        <v>-26306.479146600002</v>
      </c>
    </row>
    <row r="273" spans="2:9" x14ac:dyDescent="0.2">
      <c r="B273" s="19" t="s">
        <v>52</v>
      </c>
      <c r="C273" s="425">
        <f>_xlfn.XLOOKUP($B273,DATA!$N$5:$N$93,DATA!P$5:P$93)</f>
        <v>2576549</v>
      </c>
      <c r="D273" s="93">
        <f>_xlfn.XLOOKUP($B273,DATA!$N$5:$N$93,DATA!Q$5:Q$93)</f>
        <v>9236450</v>
      </c>
      <c r="E273" s="93">
        <f>_xlfn.XLOOKUP($B273,DATA!$N$5:$N$93,DATA!R$5:R$93)</f>
        <v>10656487</v>
      </c>
      <c r="F273" s="425">
        <f>F148-E148</f>
        <v>15624245.398749977</v>
      </c>
      <c r="G273" s="93">
        <f t="shared" ref="G273:I273" si="187">G148-F148</f>
        <v>16049082.050739259</v>
      </c>
      <c r="H273" s="93">
        <f t="shared" si="187"/>
        <v>17195781.460061014</v>
      </c>
      <c r="I273" s="93">
        <f t="shared" si="187"/>
        <v>18484364.450732917</v>
      </c>
    </row>
    <row r="274" spans="2:9" x14ac:dyDescent="0.2">
      <c r="B274" s="19" t="s">
        <v>62</v>
      </c>
      <c r="C274" s="425">
        <f>_xlfn.XLOOKUP($B274,DATA!$N$5:$N$93,DATA!P$5:P$93)</f>
        <v>-723503</v>
      </c>
      <c r="D274" s="93">
        <f>_xlfn.XLOOKUP($B274,DATA!$N$5:$N$93,DATA!Q$5:Q$93)</f>
        <v>181058</v>
      </c>
      <c r="E274" s="93">
        <f>_xlfn.XLOOKUP($B274,DATA!$N$5:$N$93,DATA!R$5:R$93)</f>
        <v>-20855</v>
      </c>
      <c r="F274" s="425">
        <f>-(F158-E158)</f>
        <v>-247872.67435358046</v>
      </c>
      <c r="G274" s="93">
        <f t="shared" ref="G274:I274" si="188">-(G158-F158)</f>
        <v>-302039.81138304854</v>
      </c>
      <c r="H274" s="93">
        <f t="shared" si="188"/>
        <v>-368043.98830253631</v>
      </c>
      <c r="I274" s="93">
        <f t="shared" si="188"/>
        <v>-448471.93058881536</v>
      </c>
    </row>
    <row r="275" spans="2:9" x14ac:dyDescent="0.2">
      <c r="B275" s="420" t="s">
        <v>63</v>
      </c>
      <c r="C275" s="265">
        <f>_xlfn.XLOOKUP($B275,DATA!$N$5:$N$93,DATA!P$5:P$93)</f>
        <v>0</v>
      </c>
      <c r="D275" s="203">
        <f>_xlfn.XLOOKUP($B275,DATA!$N$5:$N$93,DATA!Q$5:Q$93)</f>
        <v>0</v>
      </c>
      <c r="E275" s="203">
        <f>_xlfn.XLOOKUP($B275,DATA!$N$5:$N$93,DATA!R$5:R$93)</f>
        <v>0</v>
      </c>
      <c r="F275" s="265">
        <f>F159-E159</f>
        <v>0</v>
      </c>
      <c r="G275" s="203">
        <f t="shared" ref="G275:I275" si="189">G159-F159</f>
        <v>0</v>
      </c>
      <c r="H275" s="203">
        <f t="shared" si="189"/>
        <v>0</v>
      </c>
      <c r="I275" s="203">
        <f t="shared" si="189"/>
        <v>0</v>
      </c>
    </row>
    <row r="276" spans="2:9" x14ac:dyDescent="0.2">
      <c r="B276" s="417" t="s">
        <v>127</v>
      </c>
      <c r="C276" s="250">
        <f>_xlfn.XLOOKUP($B276,DATA!$N$5:$N$93,DATA!P$5:P$93)</f>
        <v>-1391757</v>
      </c>
      <c r="D276" s="115">
        <f>_xlfn.XLOOKUP($B276,DATA!$N$5:$N$93,DATA!Q$5:Q$93)</f>
        <v>6374627</v>
      </c>
      <c r="E276" s="115">
        <f>_xlfn.XLOOKUP($B276,DATA!$N$5:$N$93,DATA!R$5:R$93)</f>
        <v>3726164</v>
      </c>
      <c r="F276" s="250">
        <f>SUM(F224:F275)</f>
        <v>18002544.919497412</v>
      </c>
      <c r="G276" s="115">
        <f t="shared" ref="G276:I276" si="190">SUM(G224:G275)</f>
        <v>23220835.450427737</v>
      </c>
      <c r="H276" s="115">
        <f t="shared" si="190"/>
        <v>29214511.867599279</v>
      </c>
      <c r="I276" s="115">
        <f t="shared" si="190"/>
        <v>35576871.584597602</v>
      </c>
    </row>
    <row r="277" spans="2:9" x14ac:dyDescent="0.2">
      <c r="B277" s="420" t="s">
        <v>128</v>
      </c>
      <c r="C277" s="265">
        <f>_xlfn.XLOOKUP($B277,DATA!$N$5:$N$93,DATA!P$5:P$93)</f>
        <v>-234773</v>
      </c>
      <c r="D277" s="203">
        <f>_xlfn.XLOOKUP($B277,DATA!$N$5:$N$93,DATA!Q$5:Q$93)</f>
        <v>-139648</v>
      </c>
      <c r="E277" s="203">
        <f>_xlfn.XLOOKUP($B277,DATA!$N$5:$N$93,DATA!R$5:R$93)</f>
        <v>-531136</v>
      </c>
      <c r="F277" s="435">
        <f>AVERAGE($C$277:E277)</f>
        <v>-301852.33333333331</v>
      </c>
      <c r="G277" s="436">
        <f>AVERAGE($C$277:F277)</f>
        <v>-301852.33333333331</v>
      </c>
      <c r="H277" s="436">
        <f>AVERAGE($C$277:G277)</f>
        <v>-301852.33333333331</v>
      </c>
      <c r="I277" s="436">
        <f>AVERAGE($C$277:H277)</f>
        <v>-301852.33333333331</v>
      </c>
    </row>
    <row r="278" spans="2:9" x14ac:dyDescent="0.2">
      <c r="B278" s="97" t="s">
        <v>129</v>
      </c>
      <c r="C278" s="268">
        <f>_xlfn.XLOOKUP($B278,DATA!$N$5:$N$93,DATA!P$5:P$93)</f>
        <v>-1626530</v>
      </c>
      <c r="D278" s="119">
        <f>_xlfn.XLOOKUP($B278,DATA!$N$5:$N$93,DATA!Q$5:Q$93)</f>
        <v>6234979</v>
      </c>
      <c r="E278" s="119">
        <f>_xlfn.XLOOKUP($B278,DATA!$N$5:$N$93,DATA!R$5:R$93)</f>
        <v>3195028</v>
      </c>
      <c r="F278" s="268">
        <f>SUM(F276:F277)</f>
        <v>17700692.58616408</v>
      </c>
      <c r="G278" s="119">
        <f t="shared" ref="G278:I278" si="191">SUM(G276:G277)</f>
        <v>22918983.117094405</v>
      </c>
      <c r="H278" s="119">
        <f t="shared" si="191"/>
        <v>28912659.534265947</v>
      </c>
      <c r="I278" s="119">
        <f t="shared" si="191"/>
        <v>35275019.251264267</v>
      </c>
    </row>
    <row r="279" spans="2:9" x14ac:dyDescent="0.2">
      <c r="B279" s="417" t="s">
        <v>130</v>
      </c>
      <c r="C279" s="250"/>
      <c r="D279" s="115"/>
      <c r="E279" s="115"/>
      <c r="F279" s="220"/>
      <c r="G279" s="113"/>
      <c r="H279" s="113"/>
      <c r="I279" s="113"/>
    </row>
    <row r="280" spans="2:9" x14ac:dyDescent="0.2">
      <c r="B280" s="19" t="s">
        <v>131</v>
      </c>
      <c r="C280" s="425">
        <f>_xlfn.XLOOKUP($B280,DATA!$N$5:$N$93,DATA!P$5:P$93)</f>
        <v>-7948094</v>
      </c>
      <c r="D280" s="93">
        <f>_xlfn.XLOOKUP($B280,DATA!$N$5:$N$93,DATA!Q$5:Q$93)</f>
        <v>-11590282</v>
      </c>
      <c r="E280" s="93">
        <f>_xlfn.XLOOKUP($B280,DATA!$N$5:$N$93,DATA!R$5:R$93)</f>
        <v>-12654044</v>
      </c>
      <c r="F280" s="425">
        <f>-(F128-E128)</f>
        <v>-6625350.2342834473</v>
      </c>
      <c r="G280" s="93">
        <f t="shared" ref="G280:I280" si="192">-(G128-F128)</f>
        <v>-7798517.829538554</v>
      </c>
      <c r="H280" s="93">
        <f t="shared" si="192"/>
        <v>-9179421.1908871606</v>
      </c>
      <c r="I280" s="93">
        <f t="shared" si="192"/>
        <v>-10804844.618107922</v>
      </c>
    </row>
    <row r="281" spans="2:9" x14ac:dyDescent="0.2">
      <c r="B281" s="19" t="s">
        <v>132</v>
      </c>
      <c r="C281" s="425">
        <f>_xlfn.XLOOKUP($B281,DATA!$N$5:$N$93,DATA!P$5:P$93)</f>
        <v>8629963</v>
      </c>
      <c r="D281" s="93">
        <f>_xlfn.XLOOKUP($B281,DATA!$N$5:$N$93,DATA!Q$5:Q$93)</f>
        <v>9127540</v>
      </c>
      <c r="E281" s="93">
        <f>_xlfn.XLOOKUP($B281,DATA!$N$5:$N$93,DATA!R$5:R$93)</f>
        <v>5434122</v>
      </c>
      <c r="F281" s="425">
        <f>F369</f>
        <v>2848900.6007418823</v>
      </c>
      <c r="G281" s="93">
        <f>G369</f>
        <v>3392355.2558492711</v>
      </c>
      <c r="H281" s="93">
        <f>H369</f>
        <v>4038945.3239903506</v>
      </c>
      <c r="I281" s="93">
        <f>I369</f>
        <v>4808155.8550580256</v>
      </c>
    </row>
    <row r="282" spans="2:9" x14ac:dyDescent="0.2">
      <c r="B282" s="19" t="s">
        <v>133</v>
      </c>
      <c r="C282" s="425">
        <f>_xlfn.XLOOKUP($B282,DATA!$N$5:$N$93,DATA!P$5:P$93)</f>
        <v>0</v>
      </c>
      <c r="D282" s="93">
        <f>_xlfn.XLOOKUP($B282,DATA!$N$5:$N$93,DATA!Q$5:Q$93)</f>
        <v>0</v>
      </c>
      <c r="E282" s="93">
        <f>_xlfn.XLOOKUP($B282,DATA!$N$5:$N$93,DATA!R$5:R$93)</f>
        <v>0</v>
      </c>
      <c r="F282" s="425">
        <f>IF(F129-E129&lt;0,-(F129-E129),0)</f>
        <v>0</v>
      </c>
      <c r="G282" s="454">
        <f t="shared" ref="G282:I282" si="193">IF(G129-F129&lt;0,-(G129-F129),0)</f>
        <v>0</v>
      </c>
      <c r="H282" s="454">
        <f t="shared" si="193"/>
        <v>0</v>
      </c>
      <c r="I282" s="454">
        <f t="shared" si="193"/>
        <v>0</v>
      </c>
    </row>
    <row r="283" spans="2:9" ht="24" x14ac:dyDescent="0.2">
      <c r="B283" s="19" t="s">
        <v>134</v>
      </c>
      <c r="C283" s="425">
        <f>_xlfn.XLOOKUP($B283,DATA!$N$5:$N$93,DATA!P$5:P$93)</f>
        <v>0</v>
      </c>
      <c r="D283" s="93">
        <f>_xlfn.XLOOKUP($B283,DATA!$N$5:$N$93,DATA!Q$5:Q$93)</f>
        <v>0</v>
      </c>
      <c r="E283" s="93">
        <f>_xlfn.XLOOKUP($B283,DATA!$N$5:$N$93,DATA!R$5:R$93)</f>
        <v>0</v>
      </c>
      <c r="F283" s="425">
        <f>IF(F129-E129&lt;0,F129-E129,0)</f>
        <v>0</v>
      </c>
      <c r="G283" s="93">
        <f t="shared" ref="G283:I283" si="194">IF(G129-F129&lt;0,G129-F129,0)</f>
        <v>0</v>
      </c>
      <c r="H283" s="93">
        <f t="shared" si="194"/>
        <v>0</v>
      </c>
      <c r="I283" s="93">
        <f t="shared" si="194"/>
        <v>0</v>
      </c>
    </row>
    <row r="284" spans="2:9" x14ac:dyDescent="0.2">
      <c r="B284" s="19" t="s">
        <v>135</v>
      </c>
      <c r="C284" s="425">
        <f>_xlfn.XLOOKUP($B284,DATA!$N$5:$N$93,DATA!P$5:P$93)</f>
        <v>-19680</v>
      </c>
      <c r="D284" s="93">
        <f>_xlfn.XLOOKUP($B284,DATA!$N$5:$N$93,DATA!Q$5:Q$93)</f>
        <v>-15112</v>
      </c>
      <c r="E284" s="93">
        <f>_xlfn.XLOOKUP($B284,DATA!$N$5:$N$93,DATA!R$5:R$93)</f>
        <v>-38502</v>
      </c>
      <c r="F284" s="425">
        <f>-(F136-E136)</f>
        <v>-2153.9749999999913</v>
      </c>
      <c r="G284" s="93">
        <f t="shared" ref="G284:I284" si="195">-(G136-F136)</f>
        <v>-1766.2595000000001</v>
      </c>
      <c r="H284" s="93">
        <f t="shared" si="195"/>
        <v>-1801.5846900000033</v>
      </c>
      <c r="I284" s="93">
        <f t="shared" si="195"/>
        <v>-1837.6163838000066</v>
      </c>
    </row>
    <row r="285" spans="2:9" x14ac:dyDescent="0.2">
      <c r="B285" s="19" t="s">
        <v>136</v>
      </c>
      <c r="C285" s="425">
        <f>_xlfn.XLOOKUP($B285,DATA!$N$5:$N$93,DATA!P$5:P$93)</f>
        <v>0</v>
      </c>
      <c r="D285" s="93">
        <f>_xlfn.XLOOKUP($B285,DATA!$N$5:$N$93,DATA!Q$5:Q$93)</f>
        <v>0</v>
      </c>
      <c r="E285" s="93">
        <f>_xlfn.XLOOKUP($B285,DATA!$N$5:$N$93,DATA!R$5:R$93)</f>
        <v>0</v>
      </c>
      <c r="F285" s="425">
        <f>IF(F136-E136&gt;E136,F136-E136,0)</f>
        <v>0</v>
      </c>
      <c r="G285" s="93">
        <f t="shared" ref="G285:I285" si="196">IF(G136-F136&gt;F136,G136-F136,0)</f>
        <v>0</v>
      </c>
      <c r="H285" s="93">
        <f t="shared" si="196"/>
        <v>0</v>
      </c>
      <c r="I285" s="93">
        <f t="shared" si="196"/>
        <v>0</v>
      </c>
    </row>
    <row r="286" spans="2:9" x14ac:dyDescent="0.2">
      <c r="B286" s="19" t="s">
        <v>137</v>
      </c>
      <c r="C286" s="425">
        <f>_xlfn.XLOOKUP($B286,DATA!$N$5:$N$93,DATA!P$5:P$93)</f>
        <v>-152457</v>
      </c>
      <c r="D286" s="93">
        <f>_xlfn.XLOOKUP($B286,DATA!$N$5:$N$93,DATA!Q$5:Q$93)</f>
        <v>-200969</v>
      </c>
      <c r="E286" s="93">
        <f>_xlfn.XLOOKUP($B286,DATA!$N$5:$N$93,DATA!R$5:R$93)</f>
        <v>-238818</v>
      </c>
      <c r="F286" s="425">
        <f>-(F137-E137)</f>
        <v>-67710.299999999814</v>
      </c>
      <c r="G286" s="454">
        <f t="shared" ref="G286:I286" si="197">-(G137-F137)</f>
        <v>-55522.445999999996</v>
      </c>
      <c r="H286" s="454">
        <f t="shared" si="197"/>
        <v>-56632.894919999875</v>
      </c>
      <c r="I286" s="454">
        <f t="shared" si="197"/>
        <v>-57765.552818399854</v>
      </c>
    </row>
    <row r="287" spans="2:9" x14ac:dyDescent="0.2">
      <c r="B287" s="19" t="s">
        <v>138</v>
      </c>
      <c r="C287" s="425">
        <f>_xlfn.XLOOKUP($B287,DATA!$N$5:$N$93,DATA!P$5:P$93)</f>
        <v>7592</v>
      </c>
      <c r="D287" s="93">
        <f>_xlfn.XLOOKUP($B287,DATA!$N$5:$N$93,DATA!Q$5:Q$93)</f>
        <v>1663</v>
      </c>
      <c r="E287" s="93">
        <f>_xlfn.XLOOKUP($B287,DATA!$N$5:$N$93,DATA!R$5:R$93)</f>
        <v>6917</v>
      </c>
      <c r="F287" s="425">
        <f>IF(F137-E137&gt;E137,F137-E137,0)</f>
        <v>0</v>
      </c>
      <c r="G287" s="454">
        <f t="shared" ref="G287:I287" si="198">IF(G137-F137&gt;F137,G137-F137,0)</f>
        <v>0</v>
      </c>
      <c r="H287" s="454">
        <f t="shared" si="198"/>
        <v>0</v>
      </c>
      <c r="I287" s="454">
        <f t="shared" si="198"/>
        <v>0</v>
      </c>
    </row>
    <row r="288" spans="2:9" x14ac:dyDescent="0.2">
      <c r="B288" s="19" t="s">
        <v>139</v>
      </c>
      <c r="C288" s="425">
        <f>_xlfn.XLOOKUP($B288,DATA!$N$5:$N$93,DATA!P$5:P$93)</f>
        <v>0</v>
      </c>
      <c r="D288" s="93">
        <f>_xlfn.XLOOKUP($B288,DATA!$N$5:$N$93,DATA!Q$5:Q$93)</f>
        <v>0</v>
      </c>
      <c r="E288" s="93">
        <f>_xlfn.XLOOKUP($B288,DATA!$N$5:$N$93,DATA!R$5:R$93)</f>
        <v>0</v>
      </c>
      <c r="F288" s="457">
        <v>0</v>
      </c>
      <c r="G288" s="458">
        <v>0</v>
      </c>
      <c r="H288" s="458">
        <v>0</v>
      </c>
      <c r="I288" s="458">
        <v>0</v>
      </c>
    </row>
    <row r="289" spans="2:9" x14ac:dyDescent="0.2">
      <c r="B289" s="19" t="s">
        <v>140</v>
      </c>
      <c r="C289" s="425">
        <f>_xlfn.XLOOKUP($B289,DATA!$N$5:$N$93,DATA!P$5:P$93)</f>
        <v>0</v>
      </c>
      <c r="D289" s="93">
        <f>_xlfn.XLOOKUP($B289,DATA!$N$5:$N$93,DATA!Q$5:Q$93)</f>
        <v>0</v>
      </c>
      <c r="E289" s="93">
        <f>_xlfn.XLOOKUP($B289,DATA!$N$5:$N$93,DATA!R$5:R$93)</f>
        <v>13545</v>
      </c>
      <c r="F289" s="457">
        <v>0</v>
      </c>
      <c r="G289" s="458">
        <v>0</v>
      </c>
      <c r="H289" s="458">
        <v>0</v>
      </c>
      <c r="I289" s="458">
        <v>0</v>
      </c>
    </row>
    <row r="290" spans="2:9" x14ac:dyDescent="0.2">
      <c r="B290" s="19" t="s">
        <v>141</v>
      </c>
      <c r="C290" s="425">
        <f>_xlfn.XLOOKUP($B290,DATA!$N$5:$N$93,DATA!P$5:P$93)</f>
        <v>0</v>
      </c>
      <c r="D290" s="93">
        <f>_xlfn.XLOOKUP($B290,DATA!$N$5:$N$93,DATA!Q$5:Q$93)</f>
        <v>0</v>
      </c>
      <c r="E290" s="93">
        <f>_xlfn.XLOOKUP($B290,DATA!$N$5:$N$93,DATA!R$5:R$93)</f>
        <v>0</v>
      </c>
      <c r="F290" s="457">
        <v>0</v>
      </c>
      <c r="G290" s="458">
        <v>0</v>
      </c>
      <c r="H290" s="458">
        <v>0</v>
      </c>
      <c r="I290" s="458">
        <v>0</v>
      </c>
    </row>
    <row r="291" spans="2:9" x14ac:dyDescent="0.2">
      <c r="B291" s="420" t="s">
        <v>142</v>
      </c>
      <c r="C291" s="265">
        <f>_xlfn.XLOOKUP($B291,DATA!$N$5:$N$93,DATA!P$5:P$93)</f>
        <v>41800</v>
      </c>
      <c r="D291" s="203">
        <f>_xlfn.XLOOKUP($B291,DATA!$N$5:$N$93,DATA!Q$5:Q$93)</f>
        <v>77210</v>
      </c>
      <c r="E291" s="203">
        <f>_xlfn.XLOOKUP($B291,DATA!$N$5:$N$93,DATA!R$5:R$93)</f>
        <v>92814</v>
      </c>
      <c r="F291" s="265">
        <f>F372</f>
        <v>111376.8</v>
      </c>
      <c r="G291" s="203">
        <f t="shared" ref="G291:I291" si="199">G372</f>
        <v>133652.16</v>
      </c>
      <c r="H291" s="203">
        <f t="shared" si="199"/>
        <v>160382.592</v>
      </c>
      <c r="I291" s="203">
        <f t="shared" si="199"/>
        <v>192459.11040000001</v>
      </c>
    </row>
    <row r="292" spans="2:9" x14ac:dyDescent="0.2">
      <c r="B292" s="97" t="s">
        <v>143</v>
      </c>
      <c r="C292" s="268">
        <f>_xlfn.XLOOKUP($B292,DATA!$N$5:$N$93,DATA!P$5:P$93)</f>
        <v>559124</v>
      </c>
      <c r="D292" s="119">
        <f>_xlfn.XLOOKUP($B292,DATA!$N$5:$N$93,DATA!Q$5:Q$93)</f>
        <v>-2599950</v>
      </c>
      <c r="E292" s="119">
        <f>_xlfn.XLOOKUP($B292,DATA!$N$5:$N$93,DATA!R$5:R$93)</f>
        <v>-7383966</v>
      </c>
      <c r="F292" s="265">
        <f>SUM(F280:F291)</f>
        <v>-3734937.108541565</v>
      </c>
      <c r="G292" s="203">
        <f t="shared" ref="G292:I292" si="200">SUM(G280:G291)</f>
        <v>-4329799.1191892829</v>
      </c>
      <c r="H292" s="203">
        <f t="shared" si="200"/>
        <v>-5038527.7545068096</v>
      </c>
      <c r="I292" s="203">
        <f t="shared" si="200"/>
        <v>-5863832.8218520973</v>
      </c>
    </row>
    <row r="293" spans="2:9" x14ac:dyDescent="0.2">
      <c r="B293" s="417" t="s">
        <v>144</v>
      </c>
      <c r="C293" s="250"/>
      <c r="D293" s="115"/>
      <c r="E293" s="115"/>
      <c r="F293" s="250"/>
      <c r="G293" s="113"/>
      <c r="H293" s="113"/>
      <c r="I293" s="113"/>
    </row>
    <row r="294" spans="2:9" x14ac:dyDescent="0.2">
      <c r="B294" s="19" t="s">
        <v>145</v>
      </c>
      <c r="C294" s="425">
        <f>_xlfn.XLOOKUP($B294,DATA!$N$5:$N$93,DATA!P$5:P$93)</f>
        <v>0</v>
      </c>
      <c r="D294" s="93">
        <f>_xlfn.XLOOKUP($B294,DATA!$N$5:$N$93,DATA!Q$5:Q$93)</f>
        <v>0</v>
      </c>
      <c r="E294" s="93">
        <f>_xlfn.XLOOKUP($B294,DATA!$N$5:$N$93,DATA!R$5:R$93)</f>
        <v>0</v>
      </c>
      <c r="F294" s="457">
        <v>0</v>
      </c>
      <c r="G294" s="459">
        <v>0</v>
      </c>
      <c r="H294" s="459">
        <v>0</v>
      </c>
      <c r="I294" s="459">
        <v>0</v>
      </c>
    </row>
    <row r="295" spans="2:9" x14ac:dyDescent="0.2">
      <c r="B295" s="19" t="s">
        <v>146</v>
      </c>
      <c r="C295" s="425">
        <f>_xlfn.XLOOKUP($B295,DATA!$N$5:$N$93,DATA!P$5:P$93)</f>
        <v>0</v>
      </c>
      <c r="D295" s="93">
        <f>_xlfn.XLOOKUP($B295,DATA!$N$5:$N$93,DATA!Q$5:Q$93)</f>
        <v>0</v>
      </c>
      <c r="E295" s="93">
        <f>_xlfn.XLOOKUP($B295,DATA!$N$5:$N$93,DATA!R$5:R$93)</f>
        <v>0</v>
      </c>
      <c r="F295" s="457">
        <v>0</v>
      </c>
      <c r="G295" s="459">
        <v>0</v>
      </c>
      <c r="H295" s="459">
        <v>0</v>
      </c>
      <c r="I295" s="459">
        <v>0</v>
      </c>
    </row>
    <row r="296" spans="2:9" x14ac:dyDescent="0.2">
      <c r="B296" s="19" t="s">
        <v>147</v>
      </c>
      <c r="C296" s="425">
        <f>_xlfn.XLOOKUP($B296,DATA!$N$5:$N$93,DATA!P$5:P$93)</f>
        <v>-527089</v>
      </c>
      <c r="D296" s="93">
        <f>_xlfn.XLOOKUP($B296,DATA!$N$5:$N$93,DATA!Q$5:Q$93)</f>
        <v>-660703</v>
      </c>
      <c r="E296" s="93">
        <f>_xlfn.XLOOKUP($B296,DATA!$N$5:$N$93,DATA!R$5:R$93)</f>
        <v>-603989</v>
      </c>
      <c r="F296" s="462">
        <f>F375</f>
        <v>-654619.98455291358</v>
      </c>
      <c r="G296" s="463">
        <f t="shared" ref="G296:I296" si="201">G375</f>
        <v>-709495.24606583361</v>
      </c>
      <c r="H296" s="463">
        <f t="shared" si="201"/>
        <v>-768970.57234483014</v>
      </c>
      <c r="I296" s="463">
        <f t="shared" si="201"/>
        <v>-833431.57605522254</v>
      </c>
    </row>
    <row r="297" spans="2:9" x14ac:dyDescent="0.2">
      <c r="B297" s="19" t="s">
        <v>148</v>
      </c>
      <c r="C297" s="425">
        <f>_xlfn.XLOOKUP($B297,DATA!$N$5:$N$93,DATA!P$5:P$93)</f>
        <v>511712</v>
      </c>
      <c r="D297" s="93">
        <f>_xlfn.XLOOKUP($B297,DATA!$N$5:$N$93,DATA!Q$5:Q$93)</f>
        <v>839005</v>
      </c>
      <c r="E297" s="93">
        <f>_xlfn.XLOOKUP($B297,DATA!$N$5:$N$93,DATA!R$5:R$93)</f>
        <v>1181770</v>
      </c>
      <c r="F297" s="462">
        <f>F376</f>
        <v>1309239.9691058272</v>
      </c>
      <c r="G297" s="463">
        <f t="shared" ref="G297:I297" si="202">G376</f>
        <v>1418990.4921316672</v>
      </c>
      <c r="H297" s="463">
        <f t="shared" si="202"/>
        <v>1537941.1446896603</v>
      </c>
      <c r="I297" s="463">
        <f t="shared" si="202"/>
        <v>1666863.1521104451</v>
      </c>
    </row>
    <row r="298" spans="2:9" x14ac:dyDescent="0.2">
      <c r="B298" s="19" t="s">
        <v>149</v>
      </c>
      <c r="C298" s="425">
        <f>_xlfn.XLOOKUP($B298,DATA!$N$5:$N$93,DATA!P$5:P$93)</f>
        <v>0</v>
      </c>
      <c r="D298" s="93">
        <f>_xlfn.XLOOKUP($B298,DATA!$N$5:$N$93,DATA!Q$5:Q$93)</f>
        <v>0</v>
      </c>
      <c r="E298" s="93">
        <f>_xlfn.XLOOKUP($B298,DATA!$N$5:$N$93,DATA!R$5:R$93)</f>
        <v>0</v>
      </c>
      <c r="F298" s="457">
        <v>0</v>
      </c>
      <c r="G298" s="459">
        <v>0</v>
      </c>
      <c r="H298" s="459">
        <v>0</v>
      </c>
      <c r="I298" s="459">
        <v>0</v>
      </c>
    </row>
    <row r="299" spans="2:9" x14ac:dyDescent="0.2">
      <c r="B299" s="19" t="s">
        <v>150</v>
      </c>
      <c r="C299" s="425">
        <f>_xlfn.XLOOKUP($B299,DATA!$N$5:$N$93,DATA!P$5:P$93)</f>
        <v>0</v>
      </c>
      <c r="D299" s="93">
        <f>_xlfn.XLOOKUP($B299,DATA!$N$5:$N$93,DATA!Q$5:Q$93)</f>
        <v>0</v>
      </c>
      <c r="E299" s="93">
        <f>_xlfn.XLOOKUP($B299,DATA!$N$5:$N$93,DATA!R$5:R$93)</f>
        <v>0</v>
      </c>
      <c r="F299" s="457">
        <v>0</v>
      </c>
      <c r="G299" s="459">
        <v>0</v>
      </c>
      <c r="H299" s="459">
        <v>0</v>
      </c>
      <c r="I299" s="459">
        <v>0</v>
      </c>
    </row>
    <row r="300" spans="2:9" ht="24" x14ac:dyDescent="0.2">
      <c r="B300" s="19" t="s">
        <v>151</v>
      </c>
      <c r="C300" s="425">
        <f>_xlfn.XLOOKUP($B300,DATA!$N$5:$N$93,DATA!P$5:P$93)</f>
        <v>0</v>
      </c>
      <c r="D300" s="93">
        <f>_xlfn.XLOOKUP($B300,DATA!$N$5:$N$93,DATA!Q$5:Q$93)</f>
        <v>0</v>
      </c>
      <c r="E300" s="93">
        <f>_xlfn.XLOOKUP($B300,DATA!$N$5:$N$93,DATA!R$5:R$93)</f>
        <v>0</v>
      </c>
      <c r="F300" s="457">
        <v>0</v>
      </c>
      <c r="G300" s="459">
        <v>0</v>
      </c>
      <c r="H300" s="459">
        <v>0</v>
      </c>
      <c r="I300" s="459">
        <v>0</v>
      </c>
    </row>
    <row r="301" spans="2:9" x14ac:dyDescent="0.2">
      <c r="B301" s="19" t="s">
        <v>152</v>
      </c>
      <c r="C301" s="425">
        <f>_xlfn.XLOOKUP($B301,DATA!$N$5:$N$93,DATA!P$5:P$93)</f>
        <v>0</v>
      </c>
      <c r="D301" s="93">
        <f>_xlfn.XLOOKUP($B301,DATA!$N$5:$N$93,DATA!Q$5:Q$93)</f>
        <v>0</v>
      </c>
      <c r="E301" s="93">
        <f>_xlfn.XLOOKUP($B301,DATA!$N$5:$N$93,DATA!R$5:R$93)</f>
        <v>0</v>
      </c>
      <c r="F301" s="457">
        <v>0</v>
      </c>
      <c r="G301" s="459">
        <v>0</v>
      </c>
      <c r="H301" s="459">
        <v>0</v>
      </c>
      <c r="I301" s="459">
        <v>0</v>
      </c>
    </row>
    <row r="302" spans="2:9" x14ac:dyDescent="0.2">
      <c r="B302" s="19" t="s">
        <v>153</v>
      </c>
      <c r="C302" s="425">
        <f>_xlfn.XLOOKUP($B302,DATA!$N$5:$N$93,DATA!P$5:P$93)</f>
        <v>0</v>
      </c>
      <c r="D302" s="93">
        <f>_xlfn.XLOOKUP($B302,DATA!$N$5:$N$93,DATA!Q$5:Q$93)</f>
        <v>0</v>
      </c>
      <c r="E302" s="93">
        <f>_xlfn.XLOOKUP($B302,DATA!$N$5:$N$93,DATA!R$5:R$93)</f>
        <v>0</v>
      </c>
      <c r="F302" s="457">
        <v>0</v>
      </c>
      <c r="G302" s="459">
        <v>0</v>
      </c>
      <c r="H302" s="459">
        <v>0</v>
      </c>
      <c r="I302" s="459">
        <v>0</v>
      </c>
    </row>
    <row r="303" spans="2:9" x14ac:dyDescent="0.2">
      <c r="B303" s="19" t="s">
        <v>154</v>
      </c>
      <c r="C303" s="425">
        <f>_xlfn.XLOOKUP($B303,DATA!$N$5:$N$93,DATA!P$5:P$93)</f>
        <v>-1417692</v>
      </c>
      <c r="D303" s="93">
        <f>_xlfn.XLOOKUP($B303,DATA!$N$5:$N$93,DATA!Q$5:Q$93)</f>
        <v>-1172644</v>
      </c>
      <c r="E303" s="93">
        <f>_xlfn.XLOOKUP($B303,DATA!$N$5:$N$93,DATA!R$5:R$93)</f>
        <v>-2076818</v>
      </c>
      <c r="F303" s="425">
        <f>F66</f>
        <v>-2703043.0419641021</v>
      </c>
      <c r="G303" s="93">
        <f t="shared" ref="G303:I303" si="203">G66</f>
        <v>-3518335.8156828331</v>
      </c>
      <c r="H303" s="93">
        <f t="shared" si="203"/>
        <v>-4444302.7563178791</v>
      </c>
      <c r="I303" s="93">
        <f t="shared" si="203"/>
        <v>-5518781.9477789355</v>
      </c>
    </row>
    <row r="304" spans="2:9" x14ac:dyDescent="0.2">
      <c r="B304" s="19" t="s">
        <v>155</v>
      </c>
      <c r="C304" s="425">
        <f>_xlfn.XLOOKUP($B304,DATA!$N$5:$N$93,DATA!P$5:P$93)</f>
        <v>0</v>
      </c>
      <c r="D304" s="93">
        <f>_xlfn.XLOOKUP($B304,DATA!$N$5:$N$93,DATA!Q$5:Q$93)</f>
        <v>0</v>
      </c>
      <c r="E304" s="93">
        <f>_xlfn.XLOOKUP($B304,DATA!$N$5:$N$93,DATA!R$5:R$93)</f>
        <v>0</v>
      </c>
      <c r="F304" s="457">
        <v>0</v>
      </c>
      <c r="G304" s="459">
        <v>0</v>
      </c>
      <c r="H304" s="459">
        <v>0</v>
      </c>
      <c r="I304" s="459">
        <v>0</v>
      </c>
    </row>
    <row r="305" spans="2:9" x14ac:dyDescent="0.2">
      <c r="B305" s="420" t="s">
        <v>175</v>
      </c>
      <c r="C305" s="265">
        <f>_xlfn.XLOOKUP($B305,DATA!$N$5:$N$93,DATA!P$5:P$93)</f>
        <v>0</v>
      </c>
      <c r="D305" s="203">
        <f>_xlfn.XLOOKUP($B305,DATA!$N$5:$N$93,DATA!Q$5:Q$93)</f>
        <v>0</v>
      </c>
      <c r="E305" s="203">
        <f>_xlfn.XLOOKUP($B305,DATA!$N$5:$N$93,DATA!R$5:R$93)</f>
        <v>0</v>
      </c>
      <c r="F305" s="460">
        <v>0</v>
      </c>
      <c r="G305" s="461">
        <v>0</v>
      </c>
      <c r="H305" s="461">
        <v>0</v>
      </c>
      <c r="I305" s="461">
        <v>0</v>
      </c>
    </row>
    <row r="306" spans="2:9" x14ac:dyDescent="0.2">
      <c r="B306" s="97" t="s">
        <v>156</v>
      </c>
      <c r="C306" s="268">
        <f>_xlfn.XLOOKUP($B306,DATA!$N$5:$N$93,DATA!P$5:P$93)</f>
        <v>-1433069</v>
      </c>
      <c r="D306" s="119">
        <f>_xlfn.XLOOKUP($B306,DATA!$N$5:$N$93,DATA!Q$5:Q$93)</f>
        <v>-994342</v>
      </c>
      <c r="E306" s="119">
        <f>_xlfn.XLOOKUP($B306,DATA!$N$5:$N$93,DATA!R$5:R$93)</f>
        <v>-1499037</v>
      </c>
      <c r="F306" s="268">
        <f>SUM(F294:F305)</f>
        <v>-2048423.0574111885</v>
      </c>
      <c r="G306" s="115">
        <f t="shared" ref="G306:I306" si="204">SUM(G294:G305)</f>
        <v>-2808840.5696169995</v>
      </c>
      <c r="H306" s="115">
        <f t="shared" si="204"/>
        <v>-3675332.1839730488</v>
      </c>
      <c r="I306" s="115">
        <f t="shared" si="204"/>
        <v>-4685350.3717237134</v>
      </c>
    </row>
    <row r="307" spans="2:9" ht="24" x14ac:dyDescent="0.2">
      <c r="B307" s="419" t="s">
        <v>157</v>
      </c>
      <c r="C307" s="250">
        <f>_xlfn.XLOOKUP($B307,DATA!$N$5:$N$93,DATA!P$5:P$93)</f>
        <v>-123</v>
      </c>
      <c r="D307" s="115">
        <f>_xlfn.XLOOKUP($B307,DATA!$N$5:$N$93,DATA!Q$5:Q$93)</f>
        <v>52</v>
      </c>
      <c r="E307" s="115">
        <f>_xlfn.XLOOKUP($B307,DATA!$N$5:$N$93,DATA!R$5:R$93)</f>
        <v>14</v>
      </c>
      <c r="F307" s="457">
        <v>10</v>
      </c>
      <c r="G307" s="458">
        <v>5</v>
      </c>
      <c r="H307" s="458">
        <v>2</v>
      </c>
      <c r="I307" s="458">
        <v>1</v>
      </c>
    </row>
    <row r="308" spans="2:9" ht="24" x14ac:dyDescent="0.2">
      <c r="B308" s="19" t="s">
        <v>158</v>
      </c>
      <c r="C308" s="425">
        <f>_xlfn.XLOOKUP($B308,DATA!$N$5:$N$93,DATA!P$5:P$93)</f>
        <v>0</v>
      </c>
      <c r="D308" s="93">
        <f>_xlfn.XLOOKUP($B308,DATA!$N$5:$N$93,DATA!Q$5:Q$93)</f>
        <v>0</v>
      </c>
      <c r="E308" s="93">
        <f>_xlfn.XLOOKUP($B308,DATA!$N$5:$N$93,DATA!R$5:R$93)</f>
        <v>0</v>
      </c>
      <c r="F308" s="457">
        <v>0</v>
      </c>
      <c r="G308" s="458">
        <v>0</v>
      </c>
      <c r="H308" s="458">
        <v>0</v>
      </c>
      <c r="I308" s="458">
        <v>0</v>
      </c>
    </row>
    <row r="309" spans="2:9" ht="24" x14ac:dyDescent="0.2">
      <c r="B309" s="97" t="s">
        <v>159</v>
      </c>
      <c r="C309" s="268">
        <f>_xlfn.XLOOKUP($B309,DATA!$N$5:$N$93,DATA!P$5:P$93)</f>
        <v>-2500598</v>
      </c>
      <c r="D309" s="119">
        <f>_xlfn.XLOOKUP($B309,DATA!$N$5:$N$93,DATA!Q$5:Q$93)</f>
        <v>2640739</v>
      </c>
      <c r="E309" s="119">
        <f>_xlfn.XLOOKUP($B309,DATA!$N$5:$N$93,DATA!R$5:R$93)</f>
        <v>-5687961</v>
      </c>
      <c r="F309" s="268">
        <f>F278+F292+F306</f>
        <v>11917332.420211326</v>
      </c>
      <c r="G309" s="119">
        <f t="shared" ref="G309:I309" si="205">G278+G292+G306</f>
        <v>15780343.428288121</v>
      </c>
      <c r="H309" s="119">
        <f t="shared" si="205"/>
        <v>20198799.595786091</v>
      </c>
      <c r="I309" s="119">
        <f t="shared" si="205"/>
        <v>24725836.05768846</v>
      </c>
    </row>
    <row r="310" spans="2:9" x14ac:dyDescent="0.2">
      <c r="B310" s="430" t="s">
        <v>160</v>
      </c>
      <c r="C310" s="268">
        <f>_xlfn.XLOOKUP($B310,DATA!$N$5:$N$93,DATA!P$5:P$93)</f>
        <v>50656476</v>
      </c>
      <c r="D310" s="119">
        <f>_xlfn.XLOOKUP($B310,DATA!$N$5:$N$93,DATA!Q$5:Q$93)</f>
        <v>48155878</v>
      </c>
      <c r="E310" s="119">
        <f>_xlfn.XLOOKUP($B310,DATA!$N$5:$N$93,DATA!R$5:R$93)</f>
        <v>50796617</v>
      </c>
      <c r="F310" s="268">
        <f>E311</f>
        <v>45108656</v>
      </c>
      <c r="G310" s="119">
        <f t="shared" ref="G310:I310" si="206">F311</f>
        <v>57025988.42021133</v>
      </c>
      <c r="H310" s="119">
        <f t="shared" si="206"/>
        <v>72806331.848499447</v>
      </c>
      <c r="I310" s="119">
        <f t="shared" si="206"/>
        <v>93005131.444285542</v>
      </c>
    </row>
    <row r="311" spans="2:9" x14ac:dyDescent="0.2">
      <c r="B311" s="97" t="s">
        <v>161</v>
      </c>
      <c r="C311" s="268">
        <f>_xlfn.XLOOKUP($B311,DATA!$N$5:$N$93,DATA!P$5:P$93)</f>
        <v>48155878</v>
      </c>
      <c r="D311" s="119">
        <f>_xlfn.XLOOKUP($B311,DATA!$N$5:$N$93,DATA!Q$5:Q$93)</f>
        <v>50796617</v>
      </c>
      <c r="E311" s="119">
        <f>_xlfn.XLOOKUP($B311,DATA!$N$5:$N$93,DATA!R$5:R$93)</f>
        <v>45108656</v>
      </c>
      <c r="F311" s="268">
        <f>F310+F309</f>
        <v>57025988.42021133</v>
      </c>
      <c r="G311" s="119">
        <f t="shared" ref="G311:I311" si="207">G310+G309</f>
        <v>72806331.848499447</v>
      </c>
      <c r="H311" s="119">
        <f t="shared" si="207"/>
        <v>93005131.444285542</v>
      </c>
      <c r="I311" s="119">
        <f t="shared" si="207"/>
        <v>117730967.501974</v>
      </c>
    </row>
    <row r="313" spans="2:9" x14ac:dyDescent="0.2">
      <c r="B313" s="2" t="s">
        <v>195</v>
      </c>
      <c r="C313" s="3"/>
      <c r="D313" s="3"/>
      <c r="E313" s="3"/>
      <c r="F313" s="4"/>
      <c r="G313" s="4"/>
      <c r="H313" s="4"/>
      <c r="I313" s="4"/>
    </row>
    <row r="315" spans="2:9" x14ac:dyDescent="0.2">
      <c r="B315" s="113" t="str">
        <f>_xlfn.CONCAT("Амортизација на ",B228)</f>
        <v>Амортизација на нематеријални средства</v>
      </c>
      <c r="C315" s="250">
        <f>C228</f>
        <v>23944</v>
      </c>
      <c r="D315" s="115">
        <f t="shared" ref="D315:E315" si="208">D228</f>
        <v>25678</v>
      </c>
      <c r="E315" s="115">
        <f t="shared" si="208"/>
        <v>24015</v>
      </c>
      <c r="F315" s="400">
        <f>-F$57*F316</f>
        <v>26355.122424899972</v>
      </c>
      <c r="G315" s="401">
        <f t="shared" ref="G315:I315" si="209">-G$57*G316</f>
        <v>26618.673649148972</v>
      </c>
      <c r="H315" s="401">
        <f t="shared" si="209"/>
        <v>26884.860385640459</v>
      </c>
      <c r="I315" s="401">
        <f t="shared" si="209"/>
        <v>27153.708989496867</v>
      </c>
    </row>
    <row r="316" spans="2:9" x14ac:dyDescent="0.2">
      <c r="B316" s="110" t="str">
        <f>_xlfn.CONCAT(B315," како % од вкупна амортизација")</f>
        <v>Амортизација на нематеријални средства како % од вкупна амортизација</v>
      </c>
      <c r="C316" s="215">
        <f>-C315/C$57</f>
        <v>0.1102175904401983</v>
      </c>
      <c r="D316" s="116">
        <f t="shared" ref="D316:E316" si="210">-D315/D$57</f>
        <v>0.10883367664386406</v>
      </c>
      <c r="E316" s="116">
        <f t="shared" si="210"/>
        <v>9.6936695473865644E-2</v>
      </c>
      <c r="F316" s="215">
        <f>AVERAGE($C$316:E316)</f>
        <v>0.10532932085264267</v>
      </c>
      <c r="G316" s="116">
        <f>AVERAGE($C$316:F316)</f>
        <v>0.10532932085264267</v>
      </c>
      <c r="H316" s="116">
        <f>AVERAGE($C$316:G316)</f>
        <v>0.10532932085264265</v>
      </c>
      <c r="I316" s="116">
        <f>AVERAGE($C$316:H316)</f>
        <v>0.10532932085264267</v>
      </c>
    </row>
    <row r="317" spans="2:9" x14ac:dyDescent="0.2">
      <c r="C317" s="76"/>
      <c r="D317" s="76"/>
      <c r="E317" s="76"/>
      <c r="F317" s="76"/>
      <c r="G317" s="76"/>
      <c r="H317" s="76"/>
      <c r="I317" s="76"/>
    </row>
    <row r="318" spans="2:9" x14ac:dyDescent="0.2">
      <c r="B318" s="113" t="str">
        <f>_xlfn.CONCAT("Амортизација на ",B229)</f>
        <v>Амортизација на недвижности и опрема</v>
      </c>
      <c r="C318" s="250">
        <f>C229</f>
        <v>193299</v>
      </c>
      <c r="D318" s="115">
        <f t="shared" ref="D318:E318" si="211">D229</f>
        <v>210260</v>
      </c>
      <c r="E318" s="115">
        <f t="shared" si="211"/>
        <v>223724</v>
      </c>
      <c r="F318" s="400">
        <f>-F$57*F319</f>
        <v>223861.26757510006</v>
      </c>
      <c r="G318" s="401">
        <f t="shared" ref="G318:I318" si="212">-G$57*G319</f>
        <v>226099.88025085107</v>
      </c>
      <c r="H318" s="401">
        <f t="shared" si="212"/>
        <v>228360.87905335956</v>
      </c>
      <c r="I318" s="401">
        <f t="shared" si="212"/>
        <v>230644.48784389318</v>
      </c>
    </row>
    <row r="319" spans="2:9" x14ac:dyDescent="0.2">
      <c r="B319" s="110" t="str">
        <f>_xlfn.CONCAT(B318," како % од вкупна амортизација")</f>
        <v>Амортизација на недвижности и опрема како % од вкупна амортизација</v>
      </c>
      <c r="C319" s="215">
        <f>-C318/C$57</f>
        <v>0.8897824095598017</v>
      </c>
      <c r="D319" s="116">
        <f t="shared" ref="D319:E319" si="213">-D318/D$57</f>
        <v>0.89116632335613588</v>
      </c>
      <c r="E319" s="116">
        <f t="shared" si="213"/>
        <v>0.90306330452613437</v>
      </c>
      <c r="F319" s="215">
        <f>AVERAGE($C$319:E319)</f>
        <v>0.89467067914735743</v>
      </c>
      <c r="G319" s="116">
        <f>AVERAGE($C$319:F319)</f>
        <v>0.89467067914735743</v>
      </c>
      <c r="H319" s="116">
        <f>AVERAGE($C$319:G319)</f>
        <v>0.89467067914735732</v>
      </c>
      <c r="I319" s="116">
        <f>AVERAGE($C$319:H319)</f>
        <v>0.89467067914735743</v>
      </c>
    </row>
    <row r="321" spans="2:11" x14ac:dyDescent="0.2">
      <c r="B321" s="117" t="str">
        <f>B232</f>
        <v>продажба на недвижности и опрема</v>
      </c>
      <c r="C321" s="250">
        <f>C232</f>
        <v>-7551</v>
      </c>
      <c r="D321" s="115">
        <f t="shared" ref="D321:E321" si="214">D232</f>
        <v>-655</v>
      </c>
      <c r="E321" s="115">
        <f t="shared" si="214"/>
        <v>-8826</v>
      </c>
      <c r="F321" s="250">
        <f>E321*(1+F322)</f>
        <v>-8914.26</v>
      </c>
      <c r="G321" s="115">
        <f t="shared" ref="G321:I321" si="215">F321*(1+G322)</f>
        <v>-9003.4025999999994</v>
      </c>
      <c r="H321" s="115">
        <f t="shared" si="215"/>
        <v>-9093.4366259999988</v>
      </c>
      <c r="I321" s="115">
        <f t="shared" si="215"/>
        <v>-9184.3709922599992</v>
      </c>
    </row>
    <row r="322" spans="2:11" x14ac:dyDescent="0.2">
      <c r="B322" s="118" t="str">
        <f>_xlfn.CONCAT("YoY раст на ",LOWER(B321))</f>
        <v>YoY раст на продажба на недвижности и опрема</v>
      </c>
      <c r="C322" s="215"/>
      <c r="D322" s="116">
        <f>C321/D321-1</f>
        <v>10.528244274809161</v>
      </c>
      <c r="E322" s="116">
        <f>D321/E321-1</f>
        <v>-0.92578744618173581</v>
      </c>
      <c r="F322" s="262">
        <v>0.01</v>
      </c>
      <c r="G322" s="263">
        <v>0.01</v>
      </c>
      <c r="H322" s="263">
        <v>0.01</v>
      </c>
      <c r="I322" s="263">
        <v>0.01</v>
      </c>
    </row>
    <row r="324" spans="2:11" ht="24" x14ac:dyDescent="0.2">
      <c r="B324" s="117" t="str">
        <f>B233</f>
        <v>продажба на преземени средства врз основа на ненаплатени побарувања</v>
      </c>
      <c r="C324" s="250">
        <f>C233</f>
        <v>-151130</v>
      </c>
      <c r="D324" s="115">
        <f>D233</f>
        <v>-46126</v>
      </c>
      <c r="E324" s="115">
        <f>E233</f>
        <v>-630433</v>
      </c>
      <c r="F324" s="250">
        <f>E324*(1+F325)</f>
        <v>-661954.65</v>
      </c>
      <c r="G324" s="115">
        <f t="shared" ref="G324:I324" si="216">F324*(1+G325)</f>
        <v>-695052.38250000007</v>
      </c>
      <c r="H324" s="115">
        <f t="shared" si="216"/>
        <v>-729805.00162500015</v>
      </c>
      <c r="I324" s="115">
        <f t="shared" si="216"/>
        <v>-766295.25170625024</v>
      </c>
    </row>
    <row r="325" spans="2:11" ht="24" x14ac:dyDescent="0.2">
      <c r="B325" s="118" t="str">
        <f>_xlfn.CONCAT("YoY раст на ",LOWER(B324))</f>
        <v>YoY раст на продажба на преземени средства врз основа на ненаплатени побарувања</v>
      </c>
      <c r="C325" s="215"/>
      <c r="D325" s="116">
        <f>C324/D324-1</f>
        <v>2.2764601309456705</v>
      </c>
      <c r="E325" s="116">
        <f>D324/E324-1</f>
        <v>-0.92683441380765286</v>
      </c>
      <c r="F325" s="262">
        <v>0.05</v>
      </c>
      <c r="G325" s="263">
        <v>0.05</v>
      </c>
      <c r="H325" s="263">
        <v>0.05</v>
      </c>
      <c r="I325" s="263">
        <v>0.05</v>
      </c>
    </row>
    <row r="327" spans="2:11" x14ac:dyDescent="0.2">
      <c r="B327" s="117" t="str">
        <f>B243</f>
        <v>дополнителна исправка на вредноста и посебна резерва</v>
      </c>
      <c r="C327" s="250">
        <f>C243</f>
        <v>2977881</v>
      </c>
      <c r="D327" s="115">
        <f>D243</f>
        <v>4291408</v>
      </c>
      <c r="E327" s="115">
        <f>E243</f>
        <v>2700291</v>
      </c>
      <c r="F327" s="250">
        <f>E327*(1+F328)</f>
        <v>2836523.9703199524</v>
      </c>
      <c r="G327" s="115">
        <f t="shared" ref="G327:I327" si="217">F327*(1+G328)</f>
        <v>2980747.5496022524</v>
      </c>
      <c r="H327" s="115">
        <f t="shared" si="217"/>
        <v>3115344.1968235327</v>
      </c>
      <c r="I327" s="115">
        <f t="shared" si="217"/>
        <v>3267426.7161299842</v>
      </c>
    </row>
    <row r="328" spans="2:11" ht="24" x14ac:dyDescent="0.2">
      <c r="B328" s="118" t="str">
        <f>_xlfn.CONCAT("Како % од вкунпи кредити",LOWER(B327))</f>
        <v>Како % од вкунпи кредитидополнителна исправка на вредноста и посебна резерва</v>
      </c>
      <c r="C328" s="215">
        <f>C327/SUM(C126:C127)</f>
        <v>4.9269324749826163E-2</v>
      </c>
      <c r="D328" s="116">
        <f>D327/SUM(D126:D127)</f>
        <v>6.7914732463787722E-2</v>
      </c>
      <c r="E328" s="116">
        <f>E327/SUM(E126:E127)</f>
        <v>3.4169597248019067E-2</v>
      </c>
      <c r="F328" s="215">
        <f>AVERAGE(C328:E328)</f>
        <v>5.0451218153877653E-2</v>
      </c>
      <c r="G328" s="116">
        <f t="shared" ref="G328:I328" si="218">AVERAGE(D328:F328)</f>
        <v>5.0845182621894809E-2</v>
      </c>
      <c r="H328" s="116">
        <f t="shared" si="218"/>
        <v>4.5155332674597176E-2</v>
      </c>
      <c r="I328" s="116">
        <f t="shared" si="218"/>
        <v>4.8817244483456541E-2</v>
      </c>
    </row>
    <row r="330" spans="2:11" x14ac:dyDescent="0.2">
      <c r="B330" s="117" t="str">
        <f>B244</f>
        <v xml:space="preserve">ослободена исправка на вредноста и посебна резерва </v>
      </c>
      <c r="C330" s="250">
        <f>C244</f>
        <v>-1983855</v>
      </c>
      <c r="D330" s="115">
        <f>D244</f>
        <v>-3524517</v>
      </c>
      <c r="E330" s="115">
        <f>E244</f>
        <v>-2029832</v>
      </c>
      <c r="F330" s="250">
        <f>-F331*F327</f>
        <v>-2117183.0631763837</v>
      </c>
      <c r="G330" s="115">
        <f t="shared" ref="G330:I330" si="219">-G331*G327</f>
        <v>-2224831.6226675697</v>
      </c>
      <c r="H330" s="115">
        <f t="shared" si="219"/>
        <v>-2325294.6347340876</v>
      </c>
      <c r="I330" s="115">
        <f t="shared" si="219"/>
        <v>-2438809.1114139711</v>
      </c>
    </row>
    <row r="331" spans="2:11" ht="24" x14ac:dyDescent="0.2">
      <c r="B331" s="118" t="str">
        <f>_xlfn.CONCAT(B330, " како % од ",B327)</f>
        <v>ослободена исправка на вредноста и посебна резерва  како % од дополнителна исправка на вредноста и посебна резерва</v>
      </c>
      <c r="C331" s="215">
        <f>-C330/C327</f>
        <v>0.66619686951896329</v>
      </c>
      <c r="D331" s="116">
        <f>-D330/D327</f>
        <v>0.82129618064747045</v>
      </c>
      <c r="E331" s="116">
        <f>-E330/E327</f>
        <v>0.75170861214587614</v>
      </c>
      <c r="F331" s="215">
        <f>AVERAGE($C$331:E331)</f>
        <v>0.74640055410410333</v>
      </c>
      <c r="G331" s="116">
        <f>AVERAGE($C$331:F331)</f>
        <v>0.74640055410410333</v>
      </c>
      <c r="H331" s="116">
        <f>AVERAGE($C$331:G331)</f>
        <v>0.74640055410410333</v>
      </c>
      <c r="I331" s="116">
        <f>AVERAGE($C$331:H331)</f>
        <v>0.74640055410410333</v>
      </c>
    </row>
    <row r="332" spans="2:11" x14ac:dyDescent="0.2">
      <c r="B332" s="91"/>
      <c r="C332" s="76"/>
      <c r="D332" s="76"/>
      <c r="E332" s="76"/>
      <c r="F332" s="76"/>
      <c r="G332" s="76"/>
      <c r="H332" s="76"/>
      <c r="I332" s="76"/>
    </row>
    <row r="333" spans="2:11" x14ac:dyDescent="0.2">
      <c r="B333" s="431" t="str">
        <f>B249</f>
        <v>дополнителни резервирања</v>
      </c>
      <c r="C333" s="250">
        <f>C249</f>
        <v>209</v>
      </c>
      <c r="D333" s="115">
        <f>D249</f>
        <v>10283</v>
      </c>
      <c r="E333" s="115">
        <f>E249</f>
        <v>10513</v>
      </c>
      <c r="F333" s="250">
        <f>E333*(1+F335)</f>
        <v>10647.882327535573</v>
      </c>
      <c r="G333" s="115">
        <f t="shared" ref="G333:I333" si="220">F333*(1+G335)</f>
        <v>10785.486751439932</v>
      </c>
      <c r="H333" s="115">
        <f t="shared" si="220"/>
        <v>10925.640102253321</v>
      </c>
      <c r="I333" s="115">
        <f t="shared" si="220"/>
        <v>11068.265807352795</v>
      </c>
      <c r="K333" s="101"/>
    </row>
    <row r="334" spans="2:11" x14ac:dyDescent="0.2">
      <c r="B334" s="432" t="s">
        <v>310</v>
      </c>
      <c r="C334" s="251">
        <v>0.5</v>
      </c>
      <c r="D334" s="76">
        <v>0.5</v>
      </c>
      <c r="E334" s="76">
        <v>0.5</v>
      </c>
      <c r="F334" s="76">
        <v>0.5</v>
      </c>
      <c r="G334" s="76">
        <v>0.5</v>
      </c>
      <c r="H334" s="76">
        <v>0.5</v>
      </c>
      <c r="I334" s="76">
        <v>0.5</v>
      </c>
    </row>
    <row r="335" spans="2:11" ht="24" x14ac:dyDescent="0.2">
      <c r="B335" s="118" t="str">
        <f>_xlfn.CONCAT(B333, "  помножени со  ",LOWER(B213))</f>
        <v>дополнителни резервирања  помножени со  изложеност на нефукнционални кредити</v>
      </c>
      <c r="C335" s="215">
        <f>C334*C213</f>
        <v>1.4548730955623358E-2</v>
      </c>
      <c r="D335" s="116">
        <f>D334*D213</f>
        <v>1.6795484281671373E-2</v>
      </c>
      <c r="E335" s="116">
        <f>E334*E213</f>
        <v>1.2701912806585782E-2</v>
      </c>
      <c r="F335" s="215">
        <f>F334*F213</f>
        <v>1.2830051130559692E-2</v>
      </c>
      <c r="G335" s="116">
        <f>G334*G213</f>
        <v>1.2923172859312165E-2</v>
      </c>
      <c r="H335" s="116">
        <f>H334*H213</f>
        <v>1.2994624539748027E-2</v>
      </c>
      <c r="I335" s="116">
        <f>I334*I213</f>
        <v>1.3054219593967586E-2</v>
      </c>
    </row>
    <row r="337" spans="2:10" x14ac:dyDescent="0.2">
      <c r="B337" s="117" t="str">
        <f>B250</f>
        <v>ослободени резервирања</v>
      </c>
      <c r="C337" s="250">
        <f>C250</f>
        <v>-3099</v>
      </c>
      <c r="D337" s="115">
        <f>D250</f>
        <v>-449</v>
      </c>
      <c r="E337" s="115">
        <f>E250</f>
        <v>-603</v>
      </c>
      <c r="F337" s="250">
        <f>E337*(1+F338)</f>
        <v>-1053.0795341247745</v>
      </c>
      <c r="G337" s="115">
        <f t="shared" ref="G337:I337" si="221">F337*(1+G338)</f>
        <v>-1839.0986819111972</v>
      </c>
      <c r="H337" s="115">
        <f t="shared" si="221"/>
        <v>-3211.802957141841</v>
      </c>
      <c r="I337" s="115">
        <f t="shared" si="221"/>
        <v>-5609.0944640257094</v>
      </c>
    </row>
    <row r="338" spans="2:10" x14ac:dyDescent="0.2">
      <c r="B338" s="118" t="str">
        <f>_xlfn.CONCAT(B337, " како % од ",B333)</f>
        <v>ослободени резервирања како % од дополнителни резервирања</v>
      </c>
      <c r="C338" s="215">
        <f>C331</f>
        <v>0.66619686951896329</v>
      </c>
      <c r="D338" s="116">
        <f>D331</f>
        <v>0.82129618064747045</v>
      </c>
      <c r="E338" s="116">
        <f>E331</f>
        <v>0.75170861214587614</v>
      </c>
      <c r="F338" s="215">
        <f>F331</f>
        <v>0.74640055410410333</v>
      </c>
      <c r="G338" s="116">
        <f>G331</f>
        <v>0.74640055410410333</v>
      </c>
      <c r="H338" s="116">
        <f>H331</f>
        <v>0.74640055410410333</v>
      </c>
      <c r="I338" s="116">
        <f>I331</f>
        <v>0.74640055410410333</v>
      </c>
    </row>
    <row r="340" spans="2:10" x14ac:dyDescent="0.2">
      <c r="B340" s="117" t="str">
        <f>B253</f>
        <v xml:space="preserve">Останати корекции </v>
      </c>
      <c r="C340" s="250">
        <f>C253</f>
        <v>1655</v>
      </c>
      <c r="D340" s="115">
        <f>D253</f>
        <v>-7308</v>
      </c>
      <c r="E340" s="115">
        <f>E253</f>
        <v>7809</v>
      </c>
      <c r="F340" s="250">
        <f>-F341*F337</f>
        <v>526.53976706238723</v>
      </c>
      <c r="G340" s="115">
        <f t="shared" ref="G340" si="222">-G341*G337</f>
        <v>919.54934095559861</v>
      </c>
      <c r="H340" s="115">
        <f t="shared" ref="H340" si="223">-H341*H337</f>
        <v>1605.9014785709205</v>
      </c>
      <c r="I340" s="115">
        <f t="shared" ref="I340" si="224">-I341*I337</f>
        <v>2804.5472320128547</v>
      </c>
    </row>
    <row r="341" spans="2:10" x14ac:dyDescent="0.2">
      <c r="B341" s="118" t="str">
        <f>_xlfn.CONCAT(B340, " како % од ",B337)</f>
        <v>Останати корекции  како % од ослободени резервирања</v>
      </c>
      <c r="C341" s="215">
        <f>-C340/C337</f>
        <v>0.53404323975475965</v>
      </c>
      <c r="D341" s="116">
        <f t="shared" ref="D341:E341" si="225">-D340/D337</f>
        <v>-16.276169265033406</v>
      </c>
      <c r="E341" s="116">
        <f t="shared" si="225"/>
        <v>12.950248756218905</v>
      </c>
      <c r="F341" s="262">
        <v>0.5</v>
      </c>
      <c r="G341" s="263">
        <v>0.5</v>
      </c>
      <c r="H341" s="263">
        <v>0.5</v>
      </c>
      <c r="I341" s="263">
        <v>0.5</v>
      </c>
    </row>
    <row r="343" spans="2:10" x14ac:dyDescent="0.2">
      <c r="B343" s="117" t="str">
        <f>B254</f>
        <v>Наплатени камати</v>
      </c>
      <c r="C343" s="250">
        <f>C254</f>
        <v>3321957</v>
      </c>
      <c r="D343" s="115">
        <f>D254</f>
        <v>5401969</v>
      </c>
      <c r="E343" s="115">
        <f>E254</f>
        <v>6377586</v>
      </c>
      <c r="F343" s="250">
        <f>F35*F344</f>
        <v>8127576.8205954516</v>
      </c>
      <c r="G343" s="115">
        <f>G35*G344</f>
        <v>10013174.642973598</v>
      </c>
      <c r="H343" s="115">
        <f>H35*H344</f>
        <v>12115941.317998057</v>
      </c>
      <c r="I343" s="115">
        <f>I35*I344</f>
        <v>14527013.640279675</v>
      </c>
      <c r="J343" s="93"/>
    </row>
    <row r="344" spans="2:10" x14ac:dyDescent="0.2">
      <c r="B344" s="118" t="str">
        <f>_xlfn.CONCAT(B343, " како % од ",B35)</f>
        <v>Наплатени камати како % од Приходи од камата</v>
      </c>
      <c r="C344" s="215">
        <f>C343/C35</f>
        <v>0.97225154656433987</v>
      </c>
      <c r="D344" s="116">
        <f>D343/D35</f>
        <v>0.93586985201494699</v>
      </c>
      <c r="E344" s="116">
        <f>E343/E35</f>
        <v>0.94354698756250965</v>
      </c>
      <c r="F344" s="215">
        <f>AVERAGE($C$344:E344)</f>
        <v>0.95055612871393214</v>
      </c>
      <c r="G344" s="116">
        <f>AVERAGE($C$344:F344)</f>
        <v>0.95055612871393214</v>
      </c>
      <c r="H344" s="116">
        <f>AVERAGE($C$344:G344)</f>
        <v>0.95055612871393225</v>
      </c>
      <c r="I344" s="116">
        <f>AVERAGE($C$344:H344)</f>
        <v>0.95055612871393225</v>
      </c>
    </row>
    <row r="345" spans="2:10" x14ac:dyDescent="0.2">
      <c r="J345" s="76"/>
    </row>
    <row r="346" spans="2:10" x14ac:dyDescent="0.2">
      <c r="B346" s="117" t="str">
        <f>B255</f>
        <v xml:space="preserve">Платени камати </v>
      </c>
      <c r="C346" s="250">
        <f>C255</f>
        <v>-345882</v>
      </c>
      <c r="D346" s="115">
        <f>D255</f>
        <v>-453206</v>
      </c>
      <c r="E346" s="115">
        <f>E255</f>
        <v>-594775</v>
      </c>
      <c r="F346" s="250">
        <f>F36*F347</f>
        <v>-754043.39338737866</v>
      </c>
      <c r="G346" s="115">
        <f>G36*G347</f>
        <v>-813917.6435067585</v>
      </c>
      <c r="H346" s="115">
        <f>H36*H347</f>
        <v>-876909.37517008791</v>
      </c>
      <c r="I346" s="115">
        <f>I36*I347</f>
        <v>-943453.64310487034</v>
      </c>
    </row>
    <row r="347" spans="2:10" x14ac:dyDescent="0.2">
      <c r="B347" s="118" t="str">
        <f>_xlfn.CONCAT(B346, " како % од ",B36)</f>
        <v>Платени камати  како % од Расходи за камата</v>
      </c>
      <c r="C347" s="215">
        <f>C346/C36</f>
        <v>1.0824304786225285</v>
      </c>
      <c r="D347" s="116">
        <f>D346/D36</f>
        <v>0.80940049434927352</v>
      </c>
      <c r="E347" s="116">
        <f>E346/E36</f>
        <v>0.75113312462034487</v>
      </c>
      <c r="F347" s="215">
        <f>AVERAGE($C$347:E347)</f>
        <v>0.88098803253071567</v>
      </c>
      <c r="G347" s="116">
        <f>AVERAGE($C$347:F347)</f>
        <v>0.88098803253071567</v>
      </c>
      <c r="H347" s="116">
        <f>AVERAGE($C$347:G347)</f>
        <v>0.88098803253071567</v>
      </c>
      <c r="I347" s="116">
        <f>AVERAGE($C$347:H347)</f>
        <v>0.88098803253071567</v>
      </c>
    </row>
    <row r="349" spans="2:10" x14ac:dyDescent="0.2">
      <c r="B349" s="117" t="str">
        <f>_xlfn.CONCAT(" Зголемување/(намалување) ",B260)</f>
        <v xml:space="preserve"> Зголемување/(намалување) Кредити на и побарувања од банки </v>
      </c>
      <c r="C349" s="250"/>
      <c r="D349" s="115">
        <f>-(D126-C126)</f>
        <v>-2396845</v>
      </c>
      <c r="E349" s="115">
        <f>-(E126-D126)</f>
        <v>-3069647</v>
      </c>
      <c r="F349" s="250">
        <f>-(F126-E126)</f>
        <v>-151275.27499999944</v>
      </c>
      <c r="G349" s="115">
        <f>-(G126-F126)</f>
        <v>-124045.72549999971</v>
      </c>
      <c r="H349" s="115">
        <f>-(H126-G126)</f>
        <v>-126526.64001000021</v>
      </c>
      <c r="I349" s="115">
        <f>-(I126-H126)</f>
        <v>-129057.17281019967</v>
      </c>
    </row>
    <row r="350" spans="2:10" x14ac:dyDescent="0.2">
      <c r="B350" s="453" t="s">
        <v>312</v>
      </c>
      <c r="C350" s="425">
        <f>C260</f>
        <v>2333115</v>
      </c>
      <c r="D350" s="454">
        <f>D260</f>
        <v>-2515122</v>
      </c>
      <c r="E350" s="454">
        <f>E260</f>
        <v>-1670447</v>
      </c>
      <c r="F350" s="426"/>
      <c r="G350" s="455"/>
      <c r="H350" s="455"/>
      <c r="I350" s="455"/>
    </row>
    <row r="351" spans="2:10" x14ac:dyDescent="0.2">
      <c r="B351" s="453" t="s">
        <v>315</v>
      </c>
      <c r="C351" s="425"/>
      <c r="D351" s="454"/>
      <c r="E351" s="454"/>
      <c r="F351" s="425">
        <f>F349*F352</f>
        <v>-120530.77414774355</v>
      </c>
      <c r="G351" s="454">
        <f>G349*G352</f>
        <v>-98835.234801149854</v>
      </c>
      <c r="H351" s="454">
        <f>H349*H352</f>
        <v>-100811.93949717324</v>
      </c>
      <c r="I351" s="454">
        <f>I349*I352</f>
        <v>-102828.17828711629</v>
      </c>
    </row>
    <row r="352" spans="2:10" ht="36" x14ac:dyDescent="0.2">
      <c r="B352" s="118" t="s">
        <v>311</v>
      </c>
      <c r="C352" s="215"/>
      <c r="D352" s="116">
        <f>D350/D349</f>
        <v>1.0493469540166345</v>
      </c>
      <c r="E352" s="116">
        <f>E350/E349</f>
        <v>0.54418211605438671</v>
      </c>
      <c r="F352" s="215">
        <f>AVERAGE($D$352:E352)</f>
        <v>0.79676453503551059</v>
      </c>
      <c r="G352" s="116">
        <f>AVERAGE($D$352:F352)</f>
        <v>0.79676453503551059</v>
      </c>
      <c r="H352" s="116">
        <f>AVERAGE($D$352:G352)</f>
        <v>0.79676453503551059</v>
      </c>
      <c r="I352" s="116">
        <f>AVERAGE($D$352:H352)</f>
        <v>0.79676453503551059</v>
      </c>
    </row>
    <row r="354" spans="2:9" ht="24" x14ac:dyDescent="0.2">
      <c r="B354" s="117" t="str">
        <f>_xlfn.CONCAT("Зголемување/(намалување) на ",LOWER( B261))</f>
        <v xml:space="preserve">Зголемување/(намалување) на кредити на и побарувања од други комитенти </v>
      </c>
      <c r="C354" s="250"/>
      <c r="D354" s="115">
        <f>-(D127-C127)</f>
        <v>-350457</v>
      </c>
      <c r="E354" s="115">
        <f>-(E127-D127)</f>
        <v>-12768307</v>
      </c>
      <c r="F354" s="250">
        <f>-(F127-E127)</f>
        <v>-13044302.342499986</v>
      </c>
      <c r="G354" s="115">
        <f>-(G127-F127)</f>
        <v>-12249165.456772</v>
      </c>
      <c r="H354" s="115">
        <f>-(H127-G127)</f>
        <v>-11988767.467511192</v>
      </c>
      <c r="I354" s="115">
        <f>-(I127-H127)</f>
        <v>-12326772.095226362</v>
      </c>
    </row>
    <row r="355" spans="2:9" ht="24" x14ac:dyDescent="0.2">
      <c r="B355" s="91" t="str">
        <f>_xlfn.CONCAT("Пријавено зголемување/(намалување)",B354)</f>
        <v xml:space="preserve">Пријавено зголемување/(намалување)Зголемување/(намалување) на кредити на и побарувања од други комитенти </v>
      </c>
      <c r="C355" s="425">
        <f>C261</f>
        <v>-7101644</v>
      </c>
      <c r="D355" s="93">
        <f>D261</f>
        <v>-974379</v>
      </c>
      <c r="E355" s="93">
        <f>E261</f>
        <v>-11394994</v>
      </c>
      <c r="F355" s="426"/>
    </row>
    <row r="356" spans="2:9" x14ac:dyDescent="0.2">
      <c r="B356" s="91" t="s">
        <v>314</v>
      </c>
      <c r="C356" s="425"/>
      <c r="D356" s="93"/>
      <c r="E356" s="93"/>
      <c r="F356" s="425">
        <f>F354*F357</f>
        <v>-11087656.991124988</v>
      </c>
      <c r="G356" s="93">
        <f>G354*G357</f>
        <v>-10411790.6382562</v>
      </c>
      <c r="H356" s="93">
        <f>H354*H357</f>
        <v>-10190452.347384512</v>
      </c>
      <c r="I356" s="93">
        <f>I354*I357</f>
        <v>-10477756.280942408</v>
      </c>
    </row>
    <row r="357" spans="2:9" ht="36" x14ac:dyDescent="0.2">
      <c r="B357" s="118" t="s">
        <v>313</v>
      </c>
      <c r="C357" s="215"/>
      <c r="D357" s="116">
        <f>D355/D354</f>
        <v>2.7803097098930825</v>
      </c>
      <c r="E357" s="116">
        <f>E355/E354</f>
        <v>0.89244361057421318</v>
      </c>
      <c r="F357" s="262">
        <v>0.85</v>
      </c>
      <c r="G357" s="263">
        <v>0.85</v>
      </c>
      <c r="H357" s="263">
        <v>0.85</v>
      </c>
      <c r="I357" s="263">
        <v>0.85</v>
      </c>
    </row>
    <row r="359" spans="2:9" ht="24" x14ac:dyDescent="0.2">
      <c r="B359" s="117" t="str">
        <f>_xlfn.CONCAT("Зголемување/(намалување) на ",LOWER( B263))</f>
        <v xml:space="preserve">Зголемување/(намалување) на преземени средства врз основа на ненаплатени побарувања </v>
      </c>
      <c r="C359" s="220"/>
      <c r="D359" s="115">
        <f>-(D134-C134)</f>
        <v>-1946682</v>
      </c>
      <c r="E359" s="115">
        <f>-(E134-D134)</f>
        <v>1952167</v>
      </c>
      <c r="F359" s="250">
        <f>-(F134-E134)</f>
        <v>-262.27499999999964</v>
      </c>
      <c r="G359" s="115">
        <f>-(G134-F134)</f>
        <v>-215.06550000000061</v>
      </c>
      <c r="H359" s="115">
        <f>-(H134-G134)</f>
        <v>-219.36680999999953</v>
      </c>
      <c r="I359" s="115">
        <f>-(I134-H134)</f>
        <v>-223.75414620000083</v>
      </c>
    </row>
    <row r="360" spans="2:9" ht="24" x14ac:dyDescent="0.2">
      <c r="B360" s="91" t="str">
        <f>_xlfn.CONCAT("Пријавено ",B359)</f>
        <v xml:space="preserve">Пријавено Зголемување/(намалување) на преземени средства врз основа на ненаплатени побарувања </v>
      </c>
      <c r="C360" s="425">
        <f>C263</f>
        <v>111969</v>
      </c>
      <c r="D360" s="93">
        <f>D263</f>
        <v>-1934848</v>
      </c>
      <c r="E360" s="93">
        <f>E263</f>
        <v>618506</v>
      </c>
      <c r="F360" s="426"/>
    </row>
    <row r="361" spans="2:9" ht="24" x14ac:dyDescent="0.2">
      <c r="B361" s="91" t="str">
        <f>_xlfn.CONCAT("Актуелно ",B359)</f>
        <v xml:space="preserve">Актуелно Зголемување/(намалување) на преземени средства врз основа на ненаплатени побарувања </v>
      </c>
      <c r="C361" s="425"/>
      <c r="D361" s="93"/>
      <c r="E361" s="93"/>
      <c r="F361" s="425">
        <f>F359*F362</f>
        <v>-78.682499999999891</v>
      </c>
      <c r="G361" s="93">
        <f>G359*G362</f>
        <v>-64.519650000000183</v>
      </c>
      <c r="H361" s="93">
        <f>H359*H362</f>
        <v>-65.810042999999851</v>
      </c>
      <c r="I361" s="93">
        <f>I359*I362</f>
        <v>-67.126243860000244</v>
      </c>
    </row>
    <row r="362" spans="2:9" ht="36" x14ac:dyDescent="0.2">
      <c r="B362" s="118" t="str">
        <f>_xlfn.CONCAT("Балансер за разлика помеѓу пријавено ",LOWER(B359)," и зголемување/(намалување) од биланс на состојба")</f>
        <v>Балансер за разлика помеѓу пријавено зголемување/(намалување) на преземени средства врз основа на ненаплатени побарувања  и зголемување/(намалување) од биланс на состојба</v>
      </c>
      <c r="C362" s="215"/>
      <c r="D362" s="116">
        <f>D360/D359</f>
        <v>0.99392093829397921</v>
      </c>
      <c r="E362" s="116">
        <f>E360/E359</f>
        <v>0.31683047608119591</v>
      </c>
      <c r="F362" s="262">
        <v>0.3</v>
      </c>
      <c r="G362" s="263">
        <v>0.3</v>
      </c>
      <c r="H362" s="263">
        <v>0.3</v>
      </c>
      <c r="I362" s="263">
        <v>0.3</v>
      </c>
    </row>
    <row r="364" spans="2:9" x14ac:dyDescent="0.2">
      <c r="B364" s="117" t="str">
        <f>_xlfn.CONCAT("Зголемување/(намалување) на ",LOWER( B264))</f>
        <v xml:space="preserve">Зголемување/(намалување) на задолжителна резерва во странска валута </v>
      </c>
      <c r="C364" s="250">
        <f>C264</f>
        <v>-1907029</v>
      </c>
      <c r="D364" s="115">
        <f>D264</f>
        <v>-2162139</v>
      </c>
      <c r="E364" s="115">
        <f>E264</f>
        <v>-142768</v>
      </c>
      <c r="F364" s="250">
        <f>E364*(1+F365)*(1+F366)</f>
        <v>-180601.52</v>
      </c>
      <c r="G364" s="115">
        <f t="shared" ref="G364:I364" si="226">F364*(1+G365)*(1+G366)</f>
        <v>-222501.07264000003</v>
      </c>
      <c r="H364" s="115">
        <f t="shared" si="226"/>
        <v>-269226.29789440008</v>
      </c>
      <c r="I364" s="115">
        <f t="shared" si="226"/>
        <v>-322802.33117538574</v>
      </c>
    </row>
    <row r="365" spans="2:9" x14ac:dyDescent="0.2">
      <c r="B365" s="91" t="str">
        <f>B6</f>
        <v>Раст на кредити</v>
      </c>
      <c r="C365" s="251">
        <f>C6</f>
        <v>0</v>
      </c>
      <c r="D365" s="76">
        <f>D6</f>
        <v>5.8549673773982125E-3</v>
      </c>
      <c r="E365" s="76">
        <f>E6</f>
        <v>0.21207412895527722</v>
      </c>
      <c r="F365" s="251">
        <f>F6</f>
        <v>0.15</v>
      </c>
      <c r="G365" s="76">
        <f>G6</f>
        <v>0.12</v>
      </c>
      <c r="H365" s="76">
        <f>H6</f>
        <v>0.1</v>
      </c>
      <c r="I365" s="76">
        <f>I6</f>
        <v>0.09</v>
      </c>
    </row>
    <row r="366" spans="2:9" x14ac:dyDescent="0.2">
      <c r="B366" s="110" t="str">
        <f>B8</f>
        <v>Каматна стапка на кредити</v>
      </c>
      <c r="C366" s="215">
        <f>C8</f>
        <v>0</v>
      </c>
      <c r="D366" s="116">
        <f>D8</f>
        <v>9.6151671497248972E-2</v>
      </c>
      <c r="E366" s="116">
        <f>E8</f>
        <v>0.10150267458582914</v>
      </c>
      <c r="F366" s="215">
        <f>F8</f>
        <v>0.1</v>
      </c>
      <c r="G366" s="116">
        <f>G8</f>
        <v>0.1</v>
      </c>
      <c r="H366" s="116">
        <f>H8</f>
        <v>0.1</v>
      </c>
      <c r="I366" s="116">
        <f>I8</f>
        <v>0.1</v>
      </c>
    </row>
    <row r="367" spans="2:9" x14ac:dyDescent="0.2">
      <c r="B367" s="91"/>
    </row>
    <row r="368" spans="2:9" x14ac:dyDescent="0.2">
      <c r="B368" s="117" t="str">
        <f>B280</f>
        <v>(Вложувања во хартии од вредност)</v>
      </c>
      <c r="C368" s="250">
        <f>C280</f>
        <v>-7948094</v>
      </c>
      <c r="D368" s="115">
        <f>D280</f>
        <v>-11590282</v>
      </c>
      <c r="E368" s="115">
        <f>E280</f>
        <v>-12654044</v>
      </c>
      <c r="F368" s="250">
        <f>-(F128-E128)</f>
        <v>-6625350.2342834473</v>
      </c>
      <c r="G368" s="115">
        <f>-(G128-F128)</f>
        <v>-7798517.829538554</v>
      </c>
      <c r="H368" s="115">
        <f>-(H128-G128)</f>
        <v>-9179421.1908871606</v>
      </c>
      <c r="I368" s="115">
        <f>-(I128-H128)</f>
        <v>-10804844.618107922</v>
      </c>
    </row>
    <row r="369" spans="2:9" x14ac:dyDescent="0.2">
      <c r="B369" s="453" t="str">
        <f>B281</f>
        <v>Приливи од продажбата на вложувањата во хартии од вредност</v>
      </c>
      <c r="C369" s="425">
        <f>C281</f>
        <v>8629963</v>
      </c>
      <c r="D369" s="454">
        <f>D281</f>
        <v>9127540</v>
      </c>
      <c r="E369" s="454">
        <f>E281</f>
        <v>5434122</v>
      </c>
      <c r="F369" s="425">
        <f>-F368*F370</f>
        <v>2848900.6007418823</v>
      </c>
      <c r="G369" s="454">
        <f>-G368*G370</f>
        <v>3392355.2558492711</v>
      </c>
      <c r="H369" s="454">
        <f>-H368*H370</f>
        <v>4038945.3239903506</v>
      </c>
      <c r="I369" s="454">
        <f>-I368*I370</f>
        <v>4808155.8550580256</v>
      </c>
    </row>
    <row r="370" spans="2:9" ht="24" x14ac:dyDescent="0.2">
      <c r="B370" s="118" t="str">
        <f>_xlfn.CONCAT(B369, " како % од ",B280)</f>
        <v>Приливи од продажбата на вложувањата во хартии од вредност како % од (Вложувања во хартии од вредност)</v>
      </c>
      <c r="C370" s="215">
        <f>-C369/C368</f>
        <v>1.0857902536130046</v>
      </c>
      <c r="D370" s="116">
        <f>-D369/D368</f>
        <v>0.78751664541035327</v>
      </c>
      <c r="E370" s="116">
        <f>-E369/E368</f>
        <v>0.4294375774258411</v>
      </c>
      <c r="F370" s="262">
        <v>0.43</v>
      </c>
      <c r="G370" s="263">
        <v>0.435</v>
      </c>
      <c r="H370" s="263">
        <v>0.44</v>
      </c>
      <c r="I370" s="263">
        <v>0.44500000000000001</v>
      </c>
    </row>
    <row r="372" spans="2:9" x14ac:dyDescent="0.2">
      <c r="B372" s="117" t="str">
        <f>B291</f>
        <v>Останати приливи од инвестициската дејност</v>
      </c>
      <c r="C372" s="252">
        <f>_xlfn.XLOOKUP($B372,$B$221:$B$311,C$221:C$311)</f>
        <v>41800</v>
      </c>
      <c r="D372" s="201">
        <f t="shared" ref="D372:E372" si="227">_xlfn.XLOOKUP($B372,$B$221:$B$311,D$221:D$311)</f>
        <v>77210</v>
      </c>
      <c r="E372" s="201">
        <f t="shared" si="227"/>
        <v>92814</v>
      </c>
      <c r="F372" s="250">
        <f>E372+F373*E372</f>
        <v>111376.8</v>
      </c>
      <c r="G372" s="115">
        <f t="shared" ref="G372" si="228">F372+G373*F372</f>
        <v>133652.16</v>
      </c>
      <c r="H372" s="115">
        <f t="shared" ref="H372" si="229">G372+H373*G372</f>
        <v>160382.592</v>
      </c>
      <c r="I372" s="115">
        <f t="shared" ref="I372" si="230">H372+I373*H372</f>
        <v>192459.11040000001</v>
      </c>
    </row>
    <row r="373" spans="2:9" x14ac:dyDescent="0.2">
      <c r="B373" s="118" t="str">
        <f>_xlfn.CONCAT("YoY раст на ",LOWER(B372))</f>
        <v>YoY раст на останати приливи од инвестициската дејност</v>
      </c>
      <c r="C373" s="215"/>
      <c r="D373" s="116">
        <f>D372/C372-1</f>
        <v>0.84712918660287073</v>
      </c>
      <c r="E373" s="116">
        <f>E372/D372-1</f>
        <v>0.20209817381168249</v>
      </c>
      <c r="F373" s="262">
        <v>0.2</v>
      </c>
      <c r="G373" s="263">
        <v>0.2</v>
      </c>
      <c r="H373" s="263">
        <v>0.2</v>
      </c>
      <c r="I373" s="263">
        <v>0.2</v>
      </c>
    </row>
    <row r="375" spans="2:9" x14ac:dyDescent="0.2">
      <c r="B375" s="419" t="s">
        <v>147</v>
      </c>
      <c r="C375" s="250">
        <f>_xlfn.XLOOKUP($B375,DATA!$N$5:$N$93,DATA!P$5:P$93)</f>
        <v>-527089</v>
      </c>
      <c r="D375" s="115">
        <f>_xlfn.XLOOKUP($B375,DATA!$N$5:$N$93,DATA!Q$5:Q$93)</f>
        <v>-660703</v>
      </c>
      <c r="E375" s="115">
        <f>_xlfn.XLOOKUP($B375,DATA!$N$5:$N$93,DATA!R$5:R$93)</f>
        <v>-603989</v>
      </c>
      <c r="F375" s="250">
        <f>E375*(1+F377)</f>
        <v>-654619.98455291358</v>
      </c>
      <c r="G375" s="115">
        <f t="shared" ref="G375:I375" si="231">F375*(1+G377)</f>
        <v>-709495.24606583361</v>
      </c>
      <c r="H375" s="115">
        <f t="shared" si="231"/>
        <v>-768970.57234483014</v>
      </c>
      <c r="I375" s="115">
        <f t="shared" si="231"/>
        <v>-833431.57605522254</v>
      </c>
    </row>
    <row r="376" spans="2:9" x14ac:dyDescent="0.2">
      <c r="B376" s="464" t="s">
        <v>148</v>
      </c>
      <c r="C376" s="425">
        <f>_xlfn.XLOOKUP($B376,DATA!$N$5:$N$93,DATA!P$5:P$93)</f>
        <v>511712</v>
      </c>
      <c r="D376" s="454">
        <f>_xlfn.XLOOKUP($B376,DATA!$N$5:$N$93,DATA!Q$5:Q$93)</f>
        <v>839005</v>
      </c>
      <c r="E376" s="454">
        <f>_xlfn.XLOOKUP($B376,DATA!$N$5:$N$93,DATA!R$5:R$93)</f>
        <v>1181770</v>
      </c>
      <c r="F376" s="425">
        <f>-F375*F378</f>
        <v>1309239.9691058272</v>
      </c>
      <c r="G376" s="454">
        <f t="shared" ref="G376:I376" si="232">-G375*G378</f>
        <v>1418990.4921316672</v>
      </c>
      <c r="H376" s="454">
        <f t="shared" si="232"/>
        <v>1537941.1446896603</v>
      </c>
      <c r="I376" s="454">
        <f t="shared" si="232"/>
        <v>1666863.1521104451</v>
      </c>
    </row>
    <row r="377" spans="2:9" x14ac:dyDescent="0.2">
      <c r="B377" s="453" t="str">
        <f>_xlfn.CONCAT("YoY раст на ",LOWER(B375))</f>
        <v>YoY раст на (отплата на обврските по кредити)</v>
      </c>
      <c r="C377" s="251"/>
      <c r="D377" s="456">
        <f>D375/C375-1</f>
        <v>0.25349419168299847</v>
      </c>
      <c r="E377" s="456">
        <f>E375/D375-1</f>
        <v>-8.5838871626131574E-2</v>
      </c>
      <c r="F377" s="466">
        <f>AVERAGE($D$377:E377)</f>
        <v>8.3827660028433448E-2</v>
      </c>
      <c r="G377" s="465">
        <f>AVERAGE($D$377:F377)</f>
        <v>8.3827660028433448E-2</v>
      </c>
      <c r="H377" s="465">
        <f>AVERAGE($D$377:G377)</f>
        <v>8.3827660028433448E-2</v>
      </c>
      <c r="I377" s="465">
        <f>AVERAGE($D$377:H377)</f>
        <v>8.3827660028433448E-2</v>
      </c>
    </row>
    <row r="378" spans="2:9" ht="24" x14ac:dyDescent="0.2">
      <c r="B378" s="118" t="str">
        <f>_xlfn.CONCAT(B376, " како % од ",B288)</f>
        <v>Зголемување на обврските по кредити како % од (Одливи за нетековните средства кои се чуваат за продажба}</v>
      </c>
      <c r="C378" s="215">
        <f>-C376/C375</f>
        <v>0.97082655870261003</v>
      </c>
      <c r="D378" s="116">
        <f t="shared" ref="D378" si="233">-D376/D375</f>
        <v>1.2698670961082363</v>
      </c>
      <c r="E378" s="116">
        <f t="shared" ref="E378" si="234">-E376/E375</f>
        <v>1.9566084812802882</v>
      </c>
      <c r="F378" s="262">
        <v>2</v>
      </c>
      <c r="G378" s="263">
        <v>2</v>
      </c>
      <c r="H378" s="263">
        <v>2</v>
      </c>
      <c r="I378" s="263">
        <v>2</v>
      </c>
    </row>
    <row r="418" spans="2:9" x14ac:dyDescent="0.2">
      <c r="B418" s="117" t="str">
        <f>B262</f>
        <v>Заложени средства</v>
      </c>
      <c r="C418" s="115">
        <f>C262</f>
        <v>0</v>
      </c>
      <c r="D418" s="115">
        <f>D262</f>
        <v>0</v>
      </c>
      <c r="E418" s="115">
        <f>E262</f>
        <v>0</v>
      </c>
      <c r="F418" s="115">
        <f>-F419*F346</f>
        <v>0</v>
      </c>
      <c r="G418" s="115">
        <f>-G419*G346</f>
        <v>0</v>
      </c>
      <c r="H418" s="115">
        <f>-H419*H346</f>
        <v>0</v>
      </c>
      <c r="I418" s="115">
        <f>-I419*I346</f>
        <v>0</v>
      </c>
    </row>
    <row r="419" spans="2:9" x14ac:dyDescent="0.2">
      <c r="B419" s="118" t="str">
        <f>_xlfn.CONCAT(B418, " како % од ",B346)</f>
        <v xml:space="preserve">Заложени средства како % од Платени камати </v>
      </c>
      <c r="C419" s="116">
        <f>-C418/C346</f>
        <v>0</v>
      </c>
      <c r="D419" s="116">
        <f>-D418/D346</f>
        <v>0</v>
      </c>
      <c r="E419" s="116">
        <f>-E418/E346</f>
        <v>0</v>
      </c>
      <c r="F419" s="116"/>
      <c r="G419" s="116"/>
      <c r="H419" s="116"/>
      <c r="I419" s="116"/>
    </row>
    <row r="421" spans="2:9" x14ac:dyDescent="0.2">
      <c r="B421" s="117" t="str">
        <f>B265</f>
        <v>Задолжителен депозит во НБРСМ според посебни прописи</v>
      </c>
      <c r="C421" s="115">
        <f>C265</f>
        <v>0</v>
      </c>
      <c r="D421" s="115">
        <f>D265</f>
        <v>0</v>
      </c>
      <c r="E421" s="115">
        <f>E265</f>
        <v>0</v>
      </c>
      <c r="F421" s="115">
        <f>-F422*F418</f>
        <v>0</v>
      </c>
      <c r="G421" s="115">
        <f t="shared" ref="G421" si="235">-G422*G418</f>
        <v>0</v>
      </c>
      <c r="H421" s="115">
        <f t="shared" ref="H421" si="236">-H422*H418</f>
        <v>0</v>
      </c>
      <c r="I421" s="115">
        <f t="shared" ref="I421" si="237">-I422*I418</f>
        <v>0</v>
      </c>
    </row>
    <row r="422" spans="2:9" ht="24" x14ac:dyDescent="0.2">
      <c r="B422" s="118" t="str">
        <f>_xlfn.CONCAT(B421, " како % од ",B418)</f>
        <v>Задолжителен депозит во НБРСМ според посебни прописи како % од Заложени средства</v>
      </c>
      <c r="C422" s="116" t="e">
        <f>-C421/C418</f>
        <v>#DIV/0!</v>
      </c>
      <c r="D422" s="116" t="e">
        <f>-D421/D418</f>
        <v>#DIV/0!</v>
      </c>
      <c r="E422" s="116" t="e">
        <f>-E421/E418</f>
        <v>#DIV/0!</v>
      </c>
      <c r="F422" s="116"/>
      <c r="G422" s="116"/>
      <c r="H422" s="116"/>
      <c r="I422" s="116"/>
    </row>
    <row r="424" spans="2:9" x14ac:dyDescent="0.2">
      <c r="B424" s="117" t="str">
        <f>B268</f>
        <v>Нетековни средства кои се чуваат за продажба и група за отуѓување</v>
      </c>
      <c r="C424" s="115">
        <f>C268</f>
        <v>3452</v>
      </c>
      <c r="D424" s="115">
        <f>D268</f>
        <v>0</v>
      </c>
      <c r="E424" s="115">
        <f>E268</f>
        <v>1868</v>
      </c>
      <c r="F424" s="115">
        <f>-F425*F421</f>
        <v>0</v>
      </c>
      <c r="G424" s="115">
        <f t="shared" ref="G424" si="238">-G425*G421</f>
        <v>0</v>
      </c>
      <c r="H424" s="115">
        <f t="shared" ref="H424" si="239">-H425*H421</f>
        <v>0</v>
      </c>
      <c r="I424" s="115">
        <f t="shared" ref="I424" si="240">-I425*I421</f>
        <v>0</v>
      </c>
    </row>
    <row r="425" spans="2:9" ht="24" x14ac:dyDescent="0.2">
      <c r="B425" s="118" t="str">
        <f>_xlfn.CONCAT(B424, " како % од ",B421)</f>
        <v>Нетековни средства кои се чуваат за продажба и група за отуѓување како % од Задолжителен депозит во НБРСМ според посебни прописи</v>
      </c>
      <c r="C425" s="116" t="e">
        <f>-C424/C421</f>
        <v>#DIV/0!</v>
      </c>
      <c r="D425" s="116" t="e">
        <f>-D424/D421</f>
        <v>#DIV/0!</v>
      </c>
      <c r="E425" s="116" t="e">
        <f>-E424/E421</f>
        <v>#DIV/0!</v>
      </c>
      <c r="F425" s="116"/>
      <c r="G425" s="116"/>
      <c r="H425" s="116"/>
      <c r="I425" s="116"/>
    </row>
    <row r="427" spans="2:9" x14ac:dyDescent="0.2">
      <c r="B427" s="117" t="str">
        <f>B271</f>
        <v>Дериватни обврски чувани за управување со ризик</v>
      </c>
      <c r="C427" s="115">
        <f>C271</f>
        <v>0</v>
      </c>
      <c r="D427" s="115">
        <f>D271</f>
        <v>0</v>
      </c>
      <c r="E427" s="115">
        <f>E271</f>
        <v>0</v>
      </c>
      <c r="F427" s="115">
        <f>-F428*F424</f>
        <v>0</v>
      </c>
      <c r="G427" s="115">
        <f t="shared" ref="G427" si="241">-G428*G424</f>
        <v>0</v>
      </c>
      <c r="H427" s="115">
        <f t="shared" ref="H427" si="242">-H428*H424</f>
        <v>0</v>
      </c>
      <c r="I427" s="115">
        <f t="shared" ref="I427" si="243">-I428*I424</f>
        <v>0</v>
      </c>
    </row>
    <row r="428" spans="2:9" ht="24" x14ac:dyDescent="0.2">
      <c r="B428" s="118" t="str">
        <f>_xlfn.CONCAT(B427, " како % од ",B424)</f>
        <v>Дериватни обврски чувани за управување со ризик како % од Нетековни средства кои се чуваат за продажба и група за отуѓување</v>
      </c>
      <c r="C428" s="116">
        <f>-C427/C424</f>
        <v>0</v>
      </c>
      <c r="D428" s="116" t="e">
        <f>-D427/D424</f>
        <v>#DIV/0!</v>
      </c>
      <c r="E428" s="116">
        <f>-E427/E424</f>
        <v>0</v>
      </c>
      <c r="F428" s="116"/>
      <c r="G428" s="116"/>
      <c r="H428" s="116"/>
      <c r="I428" s="116"/>
    </row>
  </sheetData>
  <pageMargins left="0.7" right="0.7" top="0.75" bottom="0.75" header="0.3" footer="0.3"/>
  <pageSetup paperSize="9" orientation="portrait" horizontalDpi="1200" verticalDpi="1200" r:id="rId1"/>
  <ignoredErrors>
    <ignoredError sqref="A1:XFD1 A113:A135 A2:A6 K2:XFD2 J126:XFD126 K465:XFD569 K31:XFD31 A370:A1048576 J318:XFD320 J203:XFD203 J76:XFD76 A75:A78 A14 L14:XFD14 J570:XFD1048576 K113:XFD125 K127:XFD136 K202:XFD202 K240:XFD247 K75:XFD75 K77:XFD78 L21:XFD30 L32:XFD52 L3:XFD6 K142:XFD184 A140:A184 O141:XFD141 L9:XFD9 A9 K86:XFD95 A85:A95 K105:XFD105 A105 B532:I1048576 F225:I225 B312:I312 F257:I257 G227:I227 K204:XFD237 A202:A237 B314:I314 B320:I320 J248:XFD316 A240:A316 B326:I326 K53:XFD66 A21:A66 K71:XFD72 A71:A72 J335:XFD342 B336 B339:I339 B342:I342 D336:I336 A333 B345:I345 B348:I348 B371:I371 J370:XFD464 K343:XFD345 F269:I269 A335:A349 J346:XFD349 J352:XFD354 A352:A354 J357:XFD359 A357:A359 J362:XFD364 A362:A364 C367:I367 G293:I293 F279:I279 J333 L333:XFD333 K323:XFD323 J326:XFD331 A326:A331 B374:I374 J366:XFD367 A366:A368 K368:XFD368 B379:I417 A318:A321 K321:XFD321 A323:A324 J324:XFD32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DBBD-4075-461A-87BB-C8CCAEB91B3C}">
  <dimension ref="B2:J20"/>
  <sheetViews>
    <sheetView workbookViewId="0">
      <selection activeCell="F4" sqref="F4:I4"/>
    </sheetView>
  </sheetViews>
  <sheetFormatPr defaultColWidth="15.7109375" defaultRowHeight="12" x14ac:dyDescent="0.2"/>
  <cols>
    <col min="1" max="1" width="3" style="1" customWidth="1"/>
    <col min="2" max="2" width="38" style="1" bestFit="1" customWidth="1"/>
    <col min="3" max="16384" width="15.7109375" style="1"/>
  </cols>
  <sheetData>
    <row r="2" spans="2:10" x14ac:dyDescent="0.2">
      <c r="B2" s="2" t="s">
        <v>209</v>
      </c>
      <c r="C2" s="3"/>
      <c r="D2" s="3"/>
      <c r="E2" s="3"/>
      <c r="F2" s="4"/>
      <c r="G2" s="4"/>
      <c r="H2" s="4"/>
      <c r="I2" s="4"/>
      <c r="J2" s="4"/>
    </row>
    <row r="4" spans="2:10" x14ac:dyDescent="0.2">
      <c r="B4" s="126" t="s">
        <v>204</v>
      </c>
      <c r="C4" s="128">
        <f>'Биланс на состојба (Проекција)'!C34</f>
        <v>44926</v>
      </c>
      <c r="D4" s="128">
        <f>'Биланс на состојба (Проекција)'!D34</f>
        <v>45291</v>
      </c>
      <c r="E4" s="128">
        <f>'Биланс на состојба (Проекција)'!E34</f>
        <v>45657</v>
      </c>
      <c r="F4" s="249">
        <f>'Биланс на состојба (Проекција)'!F34</f>
        <v>46022</v>
      </c>
      <c r="G4" s="248">
        <f>'Биланс на состојба (Проекција)'!G34</f>
        <v>46387</v>
      </c>
      <c r="H4" s="248">
        <f>'Биланс на состојба (Проекција)'!H34</f>
        <v>46752</v>
      </c>
      <c r="I4" s="248">
        <f>'Биланс на состојба (Проекција)'!I34</f>
        <v>47118</v>
      </c>
      <c r="J4" s="134" t="s">
        <v>220</v>
      </c>
    </row>
    <row r="5" spans="2:10" x14ac:dyDescent="0.2">
      <c r="B5" s="127" t="s">
        <v>207</v>
      </c>
      <c r="C5" s="122"/>
      <c r="D5" s="122"/>
      <c r="E5" s="122"/>
      <c r="F5" s="129">
        <v>1</v>
      </c>
      <c r="G5" s="130">
        <v>2</v>
      </c>
      <c r="H5" s="130">
        <v>3</v>
      </c>
      <c r="I5" s="130">
        <v>4</v>
      </c>
      <c r="J5" s="84"/>
    </row>
    <row r="6" spans="2:10" x14ac:dyDescent="0.2">
      <c r="B6" s="126" t="str">
        <f>'Биланс на состојба (Проекција)'!$B$64</f>
        <v>Нето добивка/(загуба) по оданочување</v>
      </c>
      <c r="C6" s="132">
        <f>'Биланс на состојба (Проекција)'!C64</f>
        <v>2171708</v>
      </c>
      <c r="D6" s="132">
        <f>'Биланс на состојба (Проекција)'!D64</f>
        <v>3602377</v>
      </c>
      <c r="E6" s="132">
        <f>'Биланс на состојба (Проекција)'!E64</f>
        <v>4960114</v>
      </c>
      <c r="F6" s="123">
        <f>'Биланс на состојба (Проекција)'!F64</f>
        <v>6435816.7665811954</v>
      </c>
      <c r="G6" s="123">
        <f>'Биланс на состојба (Проекција)'!G64</f>
        <v>8376990.0373400794</v>
      </c>
      <c r="H6" s="123">
        <f>'Биланс на состојба (Проекција)'!H64</f>
        <v>10581673.229328284</v>
      </c>
      <c r="I6" s="123">
        <f>'Биланс на состојба (Проекција)'!I64</f>
        <v>13139957.018521275</v>
      </c>
      <c r="J6" s="135">
        <f>SUM(C6:I6)</f>
        <v>49268636.051770836</v>
      </c>
    </row>
    <row r="7" spans="2:10" x14ac:dyDescent="0.2">
      <c r="B7" s="126" t="str">
        <f>'Биланс на состојба (Проекција)'!$B$66</f>
        <v>Исплатени дивиденди</v>
      </c>
      <c r="C7" s="132">
        <f>'Биланс на состојба (Проекција)'!C66</f>
        <v>-1417692</v>
      </c>
      <c r="D7" s="132">
        <f>'Биланс на состојба (Проекција)'!D66</f>
        <v>-1172644</v>
      </c>
      <c r="E7" s="132">
        <f>'Биланс на состојба (Проекција)'!E66</f>
        <v>-2076818</v>
      </c>
      <c r="F7" s="123">
        <f>'Биланс на состојба (Проекција)'!F66</f>
        <v>-2703043.0419641021</v>
      </c>
      <c r="G7" s="123">
        <f>'Биланс на состојба (Проекција)'!G66</f>
        <v>-3518335.8156828331</v>
      </c>
      <c r="H7" s="123">
        <f>'Биланс на состојба (Проекција)'!H66</f>
        <v>-4444302.7563178791</v>
      </c>
      <c r="I7" s="123">
        <f>'Биланс на состојба (Проекција)'!I66</f>
        <v>-5518781.9477789355</v>
      </c>
      <c r="J7" s="135">
        <f>SUM(C7:I7)</f>
        <v>-20851617.561743751</v>
      </c>
    </row>
    <row r="8" spans="2:10" x14ac:dyDescent="0.2">
      <c r="B8" s="126" t="s">
        <v>205</v>
      </c>
      <c r="C8" s="119"/>
      <c r="D8" s="119"/>
      <c r="E8" s="119"/>
      <c r="F8" s="131">
        <f>F7/(1+'Биланс на состојба (Проекција)'!$C$18)^F5</f>
        <v>-2465267.9483461189</v>
      </c>
      <c r="G8" s="131">
        <f>G7/(1+'Биланс на состојба (Проекција)'!$C$18)^G5</f>
        <v>-2926574.7789652064</v>
      </c>
      <c r="H8" s="131">
        <f>H7/(1+'Биланс на состојба (Проекција)'!$C$18)^H5</f>
        <v>-3371608.505536451</v>
      </c>
      <c r="I8" s="131">
        <f>I7/(1+'Биланс на состојба (Проекција)'!$C$18)^I5</f>
        <v>-3818457.0274364254</v>
      </c>
      <c r="J8" s="125">
        <f>SUM(F8:I8)</f>
        <v>-12581908.260284202</v>
      </c>
    </row>
    <row r="9" spans="2:10" x14ac:dyDescent="0.2">
      <c r="B9" s="91"/>
      <c r="C9" s="93"/>
      <c r="D9" s="93"/>
      <c r="E9" s="93"/>
      <c r="F9" s="93"/>
      <c r="G9" s="93"/>
      <c r="H9" s="93"/>
      <c r="I9" s="93"/>
      <c r="J9" s="93"/>
    </row>
    <row r="10" spans="2:10" x14ac:dyDescent="0.2">
      <c r="B10" s="124" t="s">
        <v>222</v>
      </c>
      <c r="C10" s="125">
        <f>J8</f>
        <v>-12581908.260284202</v>
      </c>
      <c r="D10" s="93"/>
      <c r="E10" s="93"/>
      <c r="F10" s="93"/>
      <c r="G10" s="93"/>
      <c r="H10" s="93"/>
      <c r="I10" s="93"/>
      <c r="J10" s="93"/>
    </row>
    <row r="11" spans="2:10" x14ac:dyDescent="0.2">
      <c r="B11" s="124" t="s">
        <v>206</v>
      </c>
      <c r="C11" s="125">
        <f>SUM($C$8:$I$8)/(1+'Биланс на состојба (Проекција)'!$C$18)^I5</f>
        <v>-8705449.2222469468</v>
      </c>
    </row>
    <row r="12" spans="2:10" x14ac:dyDescent="0.2">
      <c r="B12" s="124" t="s">
        <v>221</v>
      </c>
      <c r="C12" s="125">
        <f>C10+C11</f>
        <v>-21287357.482531149</v>
      </c>
    </row>
    <row r="13" spans="2:10" x14ac:dyDescent="0.2">
      <c r="B13" s="124" t="str">
        <f>WACC!$E$3</f>
        <v>Број на акции</v>
      </c>
      <c r="C13" s="125">
        <f>WACC!$F$3</f>
        <v>2279067</v>
      </c>
    </row>
    <row r="14" spans="2:10" x14ac:dyDescent="0.2">
      <c r="B14" s="124" t="s">
        <v>208</v>
      </c>
      <c r="C14" s="133">
        <f>-C12/C13</f>
        <v>9.3403824821872945</v>
      </c>
    </row>
    <row r="16" spans="2:10" x14ac:dyDescent="0.2">
      <c r="B16" s="2" t="s">
        <v>195</v>
      </c>
      <c r="C16" s="3"/>
      <c r="D16" s="3"/>
      <c r="E16" s="3"/>
      <c r="F16" s="4"/>
      <c r="G16" s="4"/>
      <c r="H16" s="4"/>
      <c r="I16" s="4"/>
      <c r="J16" s="4"/>
    </row>
    <row r="18" spans="3:9" x14ac:dyDescent="0.2">
      <c r="C18" s="76"/>
      <c r="D18" s="76"/>
      <c r="E18" s="76"/>
      <c r="F18" s="76"/>
      <c r="G18" s="76"/>
      <c r="H18" s="76"/>
      <c r="I18" s="76"/>
    </row>
    <row r="20" spans="3:9" x14ac:dyDescent="0.2">
      <c r="C20" s="76"/>
      <c r="D20" s="76"/>
      <c r="E20" s="76"/>
      <c r="F20" s="76"/>
      <c r="G20" s="76"/>
      <c r="H20" s="76"/>
      <c r="I20" s="7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F40E-EC57-4478-BDA5-F1EA5BCABE9A}">
  <dimension ref="A1"/>
  <sheetViews>
    <sheetView workbookViewId="0">
      <selection activeCell="D360" sqref="D360"/>
    </sheetView>
  </sheetViews>
  <sheetFormatPr defaultColWidth="9.140625" defaultRowHeight="12" x14ac:dyDescent="0.2"/>
  <cols>
    <col min="1" max="16384" width="9.14062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7CA5-2FF7-424D-9866-9AECBD724BA7}">
  <dimension ref="A1"/>
  <sheetViews>
    <sheetView workbookViewId="0">
      <selection activeCell="D360" sqref="D360"/>
    </sheetView>
  </sheetViews>
  <sheetFormatPr defaultColWidth="9.140625" defaultRowHeight="12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Inputs</vt:lpstr>
      <vt:lpstr>Assumptions</vt:lpstr>
      <vt:lpstr>WACC</vt:lpstr>
      <vt:lpstr>Биланс на успех (Проекција)</vt:lpstr>
      <vt:lpstr>Биланс на состојба (Проекција)</vt:lpstr>
      <vt:lpstr>DDM_Model</vt:lpstr>
      <vt:lpstr>Sensitivity_Stress</vt:lpstr>
      <vt:lpstr>Credit_Risk_Analysis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Milosh Smiljkovikj</cp:lastModifiedBy>
  <dcterms:created xsi:type="dcterms:W3CDTF">2015-06-05T18:17:20Z</dcterms:created>
  <dcterms:modified xsi:type="dcterms:W3CDTF">2025-05-04T15:41:07Z</dcterms:modified>
</cp:coreProperties>
</file>