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los\Desktop\"/>
    </mc:Choice>
  </mc:AlternateContent>
  <xr:revisionPtr revIDLastSave="0" documentId="13_ncr:1_{F90140F4-F684-4FCD-8BE4-086BA367A007}" xr6:coauthVersionLast="47" xr6:coauthVersionMax="47" xr10:uidLastSave="{00000000-0000-0000-0000-000000000000}"/>
  <bookViews>
    <workbookView xWindow="-23148" yWindow="-108" windowWidth="23256" windowHeight="12576" firstSheet="4" activeTab="9" xr2:uid="{00000000-000D-0000-FFFF-FFFF00000000}"/>
  </bookViews>
  <sheets>
    <sheet name="Overview" sheetId="1" r:id="rId1"/>
    <sheet name="Statement Of Operations" sheetId="12" r:id="rId2"/>
    <sheet name="Income Statement" sheetId="13" r:id="rId3"/>
    <sheet name="Cash Flows" sheetId="14" r:id="rId4"/>
    <sheet name="Balance Sheet" sheetId="15" r:id="rId5"/>
    <sheet name="Fixed Assets" sheetId="16" r:id="rId6"/>
    <sheet name="Net Working Capital" sheetId="17" r:id="rId7"/>
    <sheet name="Free Cash Flow" sheetId="7" r:id="rId8"/>
    <sheet name="WACC" sheetId="19" r:id="rId9"/>
    <sheet name="DCF" sheetId="18" r:id="rId10"/>
  </sheets>
  <definedNames>
    <definedName name="AS2DocOpenMode" hidden="1">"AS2DocumentEdit"</definedName>
    <definedName name="BalSheet" hidden="1">{"closed",#N/A,FALSE,"Consolidated Products - Budget";"expanded",#N/A,FALSE,"Consolidated Products - Budget"}</definedName>
    <definedName name="BS" hidden="1">{"closed",#N/A,FALSE,"Consolidated Products - Budget";"expanded",#N/A,FALSE,"Consolidated Products - Budget"}</definedName>
    <definedName name="BusSysEA">MATCH("Business Systems Enterprise Agreements", [0]!Categories,0)</definedName>
    <definedName name="Cash" hidden="1">{"closed",#N/A,FALSE,"Consolidated Products - Budget";"expanded",#N/A,FALSE,"Consolidated Products - Budget"}</definedName>
    <definedName name="Categories">#REF!</definedName>
    <definedName name="Greetings">MATCH("Grtgs WS, PictureIt, Other DAD", [0]!Categories,0)</definedName>
    <definedName name="MBV" hidden="1">{"closed",#N/A,FALSE,"Consolidated Products - Budget";"expanded",#N/A,FALSE,"Consolidated Products - Budget"}</definedName>
    <definedName name="Pivot2" hidden="1">{"closed",#N/A,FALSE,"Consolidated Products - Budget";"expanded",#N/A,FALSE,"Consolidated Products - Budget"}</definedName>
    <definedName name="PivotTable5.doc" hidden="1">#REF!</definedName>
    <definedName name="PivotTable8.doc" hidden="1">#REF!</definedName>
    <definedName name="StandAloneStandard">MATCH("Standalone office apps - standard", [0]!Categories,0)</definedName>
    <definedName name="StandAloneUpgrade">MATCH("Standalone office apps - upgrade", [0]!Categories,0)</definedName>
    <definedName name="summary" hidden="1">{"closed",#N/A,FALSE,"Consolidated Products - Budget";"expanded",#N/A,FALSE,"Consolidated Products - Budget"}</definedName>
    <definedName name="wrn.prodcon." hidden="1">{"closed",#N/A,FALSE,"Consolidated Products - Budget";"expanded",#N/A,FALSE,"Consolidated Products - Budget"}</definedName>
    <definedName name="XRefCopy1" hidden="1">#REF!</definedName>
    <definedName name="XRefCopy2" hidden="1">#REF!</definedName>
    <definedName name="XRefCopyRangeCount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7" l="1"/>
  <c r="E18" i="7"/>
  <c r="F18" i="7"/>
  <c r="G18" i="7"/>
  <c r="H18" i="7"/>
  <c r="I18" i="7"/>
  <c r="J18" i="7"/>
  <c r="C18" i="7"/>
  <c r="D12" i="7"/>
  <c r="E12" i="7"/>
  <c r="F12" i="7"/>
  <c r="G12" i="7"/>
  <c r="H12" i="7"/>
  <c r="I12" i="7"/>
  <c r="J12" i="7"/>
  <c r="C12" i="7"/>
  <c r="I12" i="18"/>
  <c r="H12" i="18" s="1"/>
  <c r="G12" i="18" s="1"/>
  <c r="C17" i="18"/>
  <c r="C16" i="18"/>
  <c r="C16" i="19"/>
  <c r="C15" i="19"/>
  <c r="C13" i="19"/>
  <c r="C9" i="19"/>
  <c r="C18" i="19" s="1"/>
  <c r="C12" i="18" s="1"/>
  <c r="F15" i="18" s="1"/>
  <c r="C8" i="19"/>
  <c r="C6" i="19"/>
  <c r="C3" i="19"/>
  <c r="F5" i="19"/>
  <c r="C4" i="19"/>
  <c r="D20" i="7"/>
  <c r="E20" i="7"/>
  <c r="C20" i="7"/>
  <c r="C4" i="17"/>
  <c r="C5" i="17" s="1"/>
  <c r="D4" i="17"/>
  <c r="D5" i="17" s="1"/>
  <c r="E4" i="17"/>
  <c r="E5" i="17" s="1"/>
  <c r="C7" i="17"/>
  <c r="C10" i="17" s="1"/>
  <c r="D7" i="17"/>
  <c r="E7" i="17"/>
  <c r="C8" i="17"/>
  <c r="D8" i="17"/>
  <c r="E8" i="17"/>
  <c r="C9" i="17"/>
  <c r="D9" i="17"/>
  <c r="E9" i="17"/>
  <c r="D10" i="17"/>
  <c r="C14" i="17"/>
  <c r="D22" i="17" s="1"/>
  <c r="D14" i="17"/>
  <c r="D19" i="17" s="1"/>
  <c r="C15" i="17"/>
  <c r="D15" i="17"/>
  <c r="D17" i="17" s="1"/>
  <c r="D4" i="16"/>
  <c r="F4" i="16"/>
  <c r="C19" i="7"/>
  <c r="E16" i="7"/>
  <c r="C16" i="7"/>
  <c r="C6" i="16"/>
  <c r="C5" i="16"/>
  <c r="E5" i="16"/>
  <c r="D6" i="16"/>
  <c r="D16" i="7" s="1"/>
  <c r="D5" i="16"/>
  <c r="E6" i="16"/>
  <c r="D7" i="16"/>
  <c r="E19" i="7"/>
  <c r="D4" i="7"/>
  <c r="D6" i="7" s="1"/>
  <c r="E4" i="7"/>
  <c r="E14" i="17" s="1"/>
  <c r="D5" i="7"/>
  <c r="E5" i="7"/>
  <c r="D8" i="7"/>
  <c r="D9" i="7" s="1"/>
  <c r="E8" i="7"/>
  <c r="D11" i="7"/>
  <c r="D15" i="7" s="1"/>
  <c r="E11" i="7"/>
  <c r="E15" i="7" s="1"/>
  <c r="D23" i="7"/>
  <c r="E23" i="7"/>
  <c r="F23" i="7" s="1"/>
  <c r="G23" i="7" s="1"/>
  <c r="H23" i="7" s="1"/>
  <c r="D19" i="7"/>
  <c r="C4" i="7"/>
  <c r="C23" i="7"/>
  <c r="C11" i="7"/>
  <c r="C15" i="7" s="1"/>
  <c r="C5" i="7"/>
  <c r="C8" i="7"/>
  <c r="C9" i="7" s="1"/>
  <c r="C21" i="17" l="1"/>
  <c r="E21" i="17"/>
  <c r="D20" i="17"/>
  <c r="D21" i="17"/>
  <c r="F21" i="17" s="1"/>
  <c r="C19" i="17"/>
  <c r="E20" i="17"/>
  <c r="C22" i="17"/>
  <c r="F16" i="18"/>
  <c r="F17" i="18" s="1"/>
  <c r="F14" i="18"/>
  <c r="F13" i="18" s="1"/>
  <c r="J12" i="18"/>
  <c r="K12" i="18" s="1"/>
  <c r="E30" i="7"/>
  <c r="E31" i="7"/>
  <c r="G22" i="17"/>
  <c r="C17" i="17"/>
  <c r="E15" i="17"/>
  <c r="E17" i="17" s="1"/>
  <c r="E27" i="7"/>
  <c r="C20" i="17"/>
  <c r="E19" i="17"/>
  <c r="E10" i="17"/>
  <c r="E22" i="17"/>
  <c r="F22" i="17" s="1"/>
  <c r="D10" i="7"/>
  <c r="D13" i="7" s="1"/>
  <c r="D14" i="7" s="1"/>
  <c r="D27" i="7"/>
  <c r="I23" i="7"/>
  <c r="J23" i="7" s="1"/>
  <c r="D17" i="7"/>
  <c r="E4" i="16"/>
  <c r="E11" i="16" s="1"/>
  <c r="D11" i="16"/>
  <c r="C7" i="16"/>
  <c r="C4" i="16" s="1"/>
  <c r="D12" i="16"/>
  <c r="E6" i="7"/>
  <c r="E9" i="7"/>
  <c r="C31" i="7"/>
  <c r="C6" i="7"/>
  <c r="C30" i="7"/>
  <c r="F30" i="7" s="1"/>
  <c r="G30" i="7" s="1"/>
  <c r="D30" i="7"/>
  <c r="D31" i="7"/>
  <c r="G21" i="17" l="1"/>
  <c r="H21" i="17" s="1"/>
  <c r="H8" i="17" s="1"/>
  <c r="F27" i="7"/>
  <c r="F4" i="7" s="1"/>
  <c r="F14" i="17" s="1"/>
  <c r="F9" i="17" s="1"/>
  <c r="F17" i="17"/>
  <c r="G17" i="17" s="1"/>
  <c r="F31" i="7"/>
  <c r="G31" i="7" s="1"/>
  <c r="F20" i="17"/>
  <c r="G20" i="17" s="1"/>
  <c r="H22" i="17"/>
  <c r="I22" i="17" s="1"/>
  <c r="F19" i="17"/>
  <c r="F4" i="17" s="1"/>
  <c r="F5" i="17" s="1"/>
  <c r="F19" i="7" s="1"/>
  <c r="E17" i="7"/>
  <c r="D21" i="7"/>
  <c r="E4" i="18" s="1"/>
  <c r="E7" i="16"/>
  <c r="E12" i="16"/>
  <c r="H30" i="7"/>
  <c r="I30" i="7" s="1"/>
  <c r="J30" i="7" s="1"/>
  <c r="C12" i="16"/>
  <c r="C11" i="16"/>
  <c r="F11" i="16" s="1"/>
  <c r="E10" i="7"/>
  <c r="C10" i="7"/>
  <c r="F8" i="7" l="1"/>
  <c r="F9" i="7" s="1"/>
  <c r="G27" i="7"/>
  <c r="G4" i="7" s="1"/>
  <c r="G14" i="17" s="1"/>
  <c r="G9" i="17"/>
  <c r="G8" i="17"/>
  <c r="I9" i="17"/>
  <c r="F5" i="7"/>
  <c r="F8" i="17"/>
  <c r="J22" i="17"/>
  <c r="J9" i="17" s="1"/>
  <c r="H20" i="17"/>
  <c r="I20" i="17" s="1"/>
  <c r="J20" i="17" s="1"/>
  <c r="I21" i="17"/>
  <c r="I8" i="17" s="1"/>
  <c r="H9" i="17"/>
  <c r="G19" i="17"/>
  <c r="G4" i="17" s="1"/>
  <c r="G5" i="17" s="1"/>
  <c r="G19" i="7" s="1"/>
  <c r="F6" i="7"/>
  <c r="F10" i="7" s="1"/>
  <c r="F15" i="17"/>
  <c r="F7" i="17" s="1"/>
  <c r="F10" i="17" s="1"/>
  <c r="F20" i="7" s="1"/>
  <c r="F17" i="7" s="1"/>
  <c r="H17" i="17"/>
  <c r="F12" i="16"/>
  <c r="G12" i="16" s="1"/>
  <c r="H12" i="16" s="1"/>
  <c r="F5" i="16"/>
  <c r="F11" i="7" s="1"/>
  <c r="F15" i="7" s="1"/>
  <c r="E13" i="7"/>
  <c r="E32" i="7" s="1"/>
  <c r="G11" i="16"/>
  <c r="H11" i="16" s="1"/>
  <c r="I11" i="16" s="1"/>
  <c r="J11" i="16" s="1"/>
  <c r="H31" i="7"/>
  <c r="C13" i="7"/>
  <c r="C32" i="7" s="1"/>
  <c r="D32" i="7"/>
  <c r="G8" i="7" l="1"/>
  <c r="G9" i="7" s="1"/>
  <c r="G5" i="7"/>
  <c r="G6" i="7" s="1"/>
  <c r="G10" i="7" s="1"/>
  <c r="H27" i="7"/>
  <c r="I27" i="7" s="1"/>
  <c r="J27" i="7" s="1"/>
  <c r="H4" i="7"/>
  <c r="H14" i="17" s="1"/>
  <c r="F6" i="16"/>
  <c r="F16" i="7" s="1"/>
  <c r="H19" i="17"/>
  <c r="J21" i="17"/>
  <c r="J8" i="17" s="1"/>
  <c r="F13" i="7"/>
  <c r="F14" i="7"/>
  <c r="F21" i="7" s="1"/>
  <c r="G4" i="18" s="1"/>
  <c r="G7" i="18" s="1"/>
  <c r="I31" i="7"/>
  <c r="J31" i="7" s="1"/>
  <c r="I17" i="17"/>
  <c r="I4" i="7"/>
  <c r="I14" i="17" s="1"/>
  <c r="F7" i="16"/>
  <c r="G4" i="16" s="1"/>
  <c r="G5" i="16" s="1"/>
  <c r="F32" i="7"/>
  <c r="E14" i="7"/>
  <c r="E21" i="7" s="1"/>
  <c r="F4" i="18" s="1"/>
  <c r="I12" i="16"/>
  <c r="C14" i="7"/>
  <c r="H8" i="7" l="1"/>
  <c r="H9" i="7" s="1"/>
  <c r="G15" i="17"/>
  <c r="G7" i="17" s="1"/>
  <c r="G10" i="17" s="1"/>
  <c r="G20" i="7" s="1"/>
  <c r="G17" i="7" s="1"/>
  <c r="H5" i="7"/>
  <c r="H6" i="7" s="1"/>
  <c r="H10" i="7" s="1"/>
  <c r="G6" i="16"/>
  <c r="G16" i="7" s="1"/>
  <c r="H4" i="17"/>
  <c r="H5" i="17" s="1"/>
  <c r="H19" i="7" s="1"/>
  <c r="I19" i="17"/>
  <c r="I4" i="17" s="1"/>
  <c r="I5" i="17" s="1"/>
  <c r="I19" i="7" s="1"/>
  <c r="J19" i="17"/>
  <c r="J4" i="17" s="1"/>
  <c r="J5" i="17" s="1"/>
  <c r="J19" i="7" s="1"/>
  <c r="G7" i="16"/>
  <c r="H4" i="16" s="1"/>
  <c r="H5" i="16" s="1"/>
  <c r="H11" i="7" s="1"/>
  <c r="H15" i="7" s="1"/>
  <c r="G11" i="7"/>
  <c r="G15" i="7" s="1"/>
  <c r="I8" i="7"/>
  <c r="I9" i="7" s="1"/>
  <c r="I7" i="17"/>
  <c r="I10" i="17" s="1"/>
  <c r="I20" i="7" s="1"/>
  <c r="J17" i="17"/>
  <c r="J4" i="7"/>
  <c r="J14" i="17" s="1"/>
  <c r="I5" i="7"/>
  <c r="I15" i="17" s="1"/>
  <c r="G32" i="7"/>
  <c r="H32" i="7" s="1"/>
  <c r="J12" i="16"/>
  <c r="H15" i="17" l="1"/>
  <c r="H7" i="17" s="1"/>
  <c r="H10" i="17" s="1"/>
  <c r="H20" i="7" s="1"/>
  <c r="H17" i="7" s="1"/>
  <c r="H13" i="7"/>
  <c r="H6" i="16"/>
  <c r="H16" i="7" s="1"/>
  <c r="I6" i="7"/>
  <c r="I10" i="7" s="1"/>
  <c r="H7" i="16"/>
  <c r="I4" i="16" s="1"/>
  <c r="I6" i="16" s="1"/>
  <c r="I16" i="7" s="1"/>
  <c r="J8" i="7"/>
  <c r="J9" i="7" s="1"/>
  <c r="J5" i="7"/>
  <c r="J15" i="17" s="1"/>
  <c r="J7" i="17" s="1"/>
  <c r="J10" i="17" s="1"/>
  <c r="J20" i="7" s="1"/>
  <c r="I32" i="7"/>
  <c r="J32" i="7" s="1"/>
  <c r="J17" i="7" l="1"/>
  <c r="H14" i="7"/>
  <c r="H21" i="7" s="1"/>
  <c r="I4" i="18" s="1"/>
  <c r="I7" i="18" s="1"/>
  <c r="J6" i="7"/>
  <c r="J10" i="7" s="1"/>
  <c r="I17" i="7"/>
  <c r="I5" i="16"/>
  <c r="G13" i="7"/>
  <c r="G14" i="7" s="1"/>
  <c r="G21" i="7" s="1"/>
  <c r="H4" i="18" s="1"/>
  <c r="H7" i="18" s="1"/>
  <c r="I7" i="16" l="1"/>
  <c r="J4" i="16" s="1"/>
  <c r="I11" i="7"/>
  <c r="I15" i="7" l="1"/>
  <c r="J5" i="16"/>
  <c r="J11" i="7" s="1"/>
  <c r="J6" i="16"/>
  <c r="J7" i="16" l="1"/>
  <c r="J16" i="7"/>
  <c r="J15" i="7"/>
  <c r="I13" i="7"/>
  <c r="I14" i="7" s="1"/>
  <c r="I21" i="7" s="1"/>
  <c r="J4" i="18" s="1"/>
  <c r="J7" i="18" s="1"/>
  <c r="J13" i="7" l="1"/>
  <c r="J14" i="7" s="1"/>
  <c r="J21" i="7" s="1"/>
  <c r="K4" i="18" s="1"/>
  <c r="C13" i="18" l="1"/>
  <c r="C14" i="18" s="1"/>
  <c r="K7" i="18"/>
  <c r="C10" i="18" s="1"/>
  <c r="C15" i="18" l="1"/>
  <c r="C19" i="18" s="1"/>
  <c r="C21" i="18" l="1"/>
  <c r="F12" i="18" s="1"/>
</calcChain>
</file>

<file path=xl/sharedStrings.xml><?xml version="1.0" encoding="utf-8"?>
<sst xmlns="http://schemas.openxmlformats.org/spreadsheetml/2006/main" count="222" uniqueCount="173">
  <si>
    <t>Revenues</t>
  </si>
  <si>
    <t>Cost of revenues</t>
  </si>
  <si>
    <t>Sales and marketing</t>
  </si>
  <si>
    <t>Technology and development</t>
  </si>
  <si>
    <t>General and administrative</t>
  </si>
  <si>
    <t>Operating income</t>
  </si>
  <si>
    <t>Other income (expense):</t>
  </si>
  <si>
    <t>Interest expense</t>
  </si>
  <si>
    <t>Interest and other income (expense)</t>
  </si>
  <si>
    <t>Income before income taxes</t>
  </si>
  <si>
    <t>Provision for income taxes</t>
  </si>
  <si>
    <t>Net income</t>
  </si>
  <si>
    <t>Earnings per share:</t>
  </si>
  <si>
    <t>Weighted-average shares of common stock outstanding:</t>
  </si>
  <si>
    <t>Cash flows from operating activities:</t>
  </si>
  <si>
    <t>Adjustments to reconcile net income to net cash provided by operating activities:</t>
  </si>
  <si>
    <t>Additions to content assets</t>
  </si>
  <si>
    <t>Change in content liabilities</t>
  </si>
  <si>
    <t>Amortization of content assets</t>
  </si>
  <si>
    <t>Depreciation and amortization of property, equipment and intangibles</t>
  </si>
  <si>
    <t>Stock-based compensation expense</t>
  </si>
  <si>
    <t>Foreign currency remeasurement loss (gain) on debt</t>
  </si>
  <si>
    <t>Other non-cash items</t>
  </si>
  <si>
    <t>Deferred income taxes</t>
  </si>
  <si>
    <t>Changes in operating assets and liabilities:</t>
  </si>
  <si>
    <t>Other current assets</t>
  </si>
  <si>
    <t>Accounts payable</t>
  </si>
  <si>
    <t>Accrued expenses and other liabilities</t>
  </si>
  <si>
    <t>Deferred revenue</t>
  </si>
  <si>
    <t>Other non-current assets and liabilities</t>
  </si>
  <si>
    <t>Net cash provided by operating activities</t>
  </si>
  <si>
    <t>Cash flows from investing activities:</t>
  </si>
  <si>
    <t>Purchases of property and equipment</t>
  </si>
  <si>
    <t>Acquisitions</t>
  </si>
  <si>
    <t>Purchases of investments</t>
  </si>
  <si>
    <t>Proceeds from maturities of investments</t>
  </si>
  <si>
    <t>Net cash provided by (used in) investing activities</t>
  </si>
  <si>
    <t>Cash flows from financing activities:</t>
  </si>
  <si>
    <t>Proceeds from issuance of debt</t>
  </si>
  <si>
    <t>Repayments of debt</t>
  </si>
  <si>
    <t>Proceeds from issuance of common stock</t>
  </si>
  <si>
    <t>Repurchases of common stock</t>
  </si>
  <si>
    <t>Taxes paid related to net share settlement of equity awards</t>
  </si>
  <si>
    <t>Other financing activities</t>
  </si>
  <si>
    <t>Net cash used in financing activities</t>
  </si>
  <si>
    <t>Effect of exchange rate changes on cash, cash equivalents and restricted cash</t>
  </si>
  <si>
    <t>Net increase (decrease) in cash, cash equivalents and restricted cash</t>
  </si>
  <si>
    <t>Cash, cash equivalents and restricted cash, beginning of year</t>
  </si>
  <si>
    <t>Cash, cash equivalents and restricted cash, end of year</t>
  </si>
  <si>
    <t>Supplemental disclosure:</t>
  </si>
  <si>
    <t>Income taxes paid</t>
  </si>
  <si>
    <t>Interest paid</t>
  </si>
  <si>
    <t>Current assets:</t>
  </si>
  <si>
    <t>Cash and cash equivalents</t>
  </si>
  <si>
    <t>Short-term investments</t>
  </si>
  <si>
    <t>Total current assets</t>
  </si>
  <si>
    <t>Content assets, net</t>
  </si>
  <si>
    <t>Property and equipment, net</t>
  </si>
  <si>
    <t>Other non-current assets</t>
  </si>
  <si>
    <t>Total assets</t>
  </si>
  <si>
    <t>Current liabilities:</t>
  </si>
  <si>
    <t>Current content liabilities</t>
  </si>
  <si>
    <t>Short-term debt</t>
  </si>
  <si>
    <t>Total current liabilities</t>
  </si>
  <si>
    <t>Non-current content liabilities</t>
  </si>
  <si>
    <t>Long-term debt</t>
  </si>
  <si>
    <t>Other non-current liabilities</t>
  </si>
  <si>
    <t>Total liabilities</t>
  </si>
  <si>
    <t>Commitments and contingencies (Note 8)</t>
  </si>
  <si>
    <t>Stockholders’ equity:</t>
  </si>
  <si>
    <t>Accumulated other comprehensive income (loss)</t>
  </si>
  <si>
    <t>Retained earnings</t>
  </si>
  <si>
    <t>Total stockholders’ equity</t>
  </si>
  <si>
    <t>Total liabilities and stockholders’ equity</t>
  </si>
  <si>
    <t>Other comprehensive income (loss):</t>
  </si>
  <si>
    <t>Change in unrealized gains on available-for-sale securities, net of income tax (expense) benefit of $(1) million, $0, and $0, respectively</t>
  </si>
  <si>
    <t>Cash flow hedges:</t>
  </si>
  <si>
    <t>Net unrealized gains (losses)</t>
  </si>
  <si>
    <t>Reclassification of net gains included in net income</t>
  </si>
  <si>
    <t>Net change, net of income tax (expense) benefit of $(246) million, $36 million, and $0, respectively</t>
  </si>
  <si>
    <t>Fair value hedges:</t>
  </si>
  <si>
    <t>Net unrealized gains excluded from the assessment of effectiveness, net of income tax (expense) benefit of $(2) million, $0, and $0, respectively</t>
  </si>
  <si>
    <t>Total other comprehensive income (loss)</t>
  </si>
  <si>
    <t>Comprehensive income</t>
  </si>
  <si>
    <t>Depreciation &amp; Amortization</t>
  </si>
  <si>
    <t>Current Assets</t>
  </si>
  <si>
    <t>Current Liabilites</t>
  </si>
  <si>
    <t>Fiscal Year</t>
  </si>
  <si>
    <t>Revenue</t>
  </si>
  <si>
    <t>COGS</t>
  </si>
  <si>
    <t>Gross Profit</t>
  </si>
  <si>
    <t>Total Operating Expenses</t>
  </si>
  <si>
    <t>EBITDA</t>
  </si>
  <si>
    <t>Operating Profit (EBIT)</t>
  </si>
  <si>
    <t>Operating Taxes</t>
  </si>
  <si>
    <t>NOPAT (Net Operating Profit After Taxes)</t>
  </si>
  <si>
    <t>(+) Depreciation &amp; Amortization</t>
  </si>
  <si>
    <t>(-) CapEx</t>
  </si>
  <si>
    <t>(-) Change in NWC</t>
  </si>
  <si>
    <t>NWC</t>
  </si>
  <si>
    <t>Unlevered Free Cash Flow</t>
  </si>
  <si>
    <t>Selling, General, Administrative</t>
  </si>
  <si>
    <t>Effective Tax Rate</t>
  </si>
  <si>
    <t>Assumptions</t>
  </si>
  <si>
    <t>Unlevered FCF ( Thousands $)</t>
  </si>
  <si>
    <t>Revenue Growth</t>
  </si>
  <si>
    <t>COGS % of Revenue</t>
  </si>
  <si>
    <t>SG&amp;A % of Revenue</t>
  </si>
  <si>
    <t>Tax % of EBIT</t>
  </si>
  <si>
    <t>Diluted</t>
  </si>
  <si>
    <t>Basic</t>
  </si>
  <si>
    <t>Assets</t>
  </si>
  <si>
    <t>NETFLIX, INC.
CONSOLIDATED STATEMENTS OF OPERATIONS
(in thousands, except per share data)</t>
  </si>
  <si>
    <t>Equity</t>
  </si>
  <si>
    <t>As of December 31, 2024</t>
  </si>
  <si>
    <r>
      <rPr>
        <b/>
        <sz val="9"/>
        <rFont val="Arial Nova"/>
        <family val="2"/>
      </rPr>
      <t>NETFLIX, INC. CONSOLIDATED BALANCE SHEETS
(in thousands, except share and per share data)</t>
    </r>
  </si>
  <si>
    <t>Liabilities and Stockholders’ Equity</t>
  </si>
  <si>
    <r>
      <rPr>
        <sz val="9"/>
        <rFont val="Arial Nova"/>
        <family val="2"/>
      </rPr>
      <t>Preferred stock, $0.001 par value; 10,000,000 shares authorized at December 31, 2024 and December 31, 2023;
no shares issued and outstanding at December 31, 2024 and December 31, 2023</t>
    </r>
  </si>
  <si>
    <t>—</t>
  </si>
  <si>
    <t>Treasury stock at cost (25,953,460 and 16,078,268 shares at December 31, 2024 and December 31, 2023)</t>
  </si>
  <si>
    <r>
      <rPr>
        <b/>
        <sz val="9"/>
        <rFont val="Arial Nova"/>
        <family val="2"/>
      </rPr>
      <t>NETFLIX, INC. CONSOLIDATED STATEMENTS OF CASH FLOWS
(in thousands)</t>
    </r>
  </si>
  <si>
    <t>Year Ended December 31,</t>
  </si>
  <si>
    <r>
      <rPr>
        <sz val="9"/>
        <rFont val="Arial Nova"/>
        <family val="2"/>
      </rPr>
      <t>Foreign currency translation adjustments, net of income tax (expense) benefit of $(7) million, $0, and
$0, respectively</t>
    </r>
  </si>
  <si>
    <r>
      <rPr>
        <b/>
        <sz val="9"/>
        <rFont val="Arial Nova"/>
        <family val="2"/>
      </rPr>
      <t>CONSOLIDATED STATEMENTS OF COMPREHENSIVE INCOME
(in thousands)
Year ended December 31,</t>
    </r>
  </si>
  <si>
    <t>D&amp;A as a % of Beginning PP&amp;E</t>
  </si>
  <si>
    <t>CapEx as a % of Beginning PP&amp;E</t>
  </si>
  <si>
    <t>Beginning PP&amp;E</t>
  </si>
  <si>
    <t>D&amp;A</t>
  </si>
  <si>
    <t>CapEX</t>
  </si>
  <si>
    <t>Ending PP&amp;E</t>
  </si>
  <si>
    <t>Days Payable Outstanding (DPO)</t>
  </si>
  <si>
    <t>Other Current Assets as a % of Revenue</t>
  </si>
  <si>
    <t>Accounts Payable as a % of Revenue</t>
  </si>
  <si>
    <t>Accrued expenses and other liabilites as a % of Revenue</t>
  </si>
  <si>
    <t>Deferred Revenue as a % of Revenue</t>
  </si>
  <si>
    <t>Other Current Assets</t>
  </si>
  <si>
    <t>Accounts Payable</t>
  </si>
  <si>
    <t>Accrued Expenses And Other Liabilities</t>
  </si>
  <si>
    <t>Deferred Revenue</t>
  </si>
  <si>
    <t>Operating Expenses:</t>
  </si>
  <si>
    <t>Net Working Capital ( Thousands $)</t>
  </si>
  <si>
    <t>Depreciation &amp; Amortization ( Thousands $)</t>
  </si>
  <si>
    <t>Weighted Avreage Cost of Capital (WACC)</t>
  </si>
  <si>
    <t>Debt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</si>
  <si>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</si>
  <si>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</si>
  <si>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</si>
  <si>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</si>
  <si>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</si>
  <si>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</si>
  <si>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</si>
  <si>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</si>
  <si>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</si>
  <si>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</si>
  <si>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WACC</t>
  </si>
  <si>
    <t>Common stock, $0.001 par value; 4,990,000,000 shares authorized at December 31, 2024 and December 31, 2023; 427,757,100 and 432,759,584 issued and outstanding at December 31, 2024 and December 31, 2023,
respectively</t>
  </si>
  <si>
    <t>Market Price 31 Dec 2024</t>
  </si>
  <si>
    <t>Projection Year</t>
  </si>
  <si>
    <t>Present Value of Free Cash Flow</t>
  </si>
  <si>
    <t>Implied Share Price Calculation</t>
  </si>
  <si>
    <t>Sum of PV of FCF</t>
  </si>
  <si>
    <t>Growth Rate</t>
  </si>
  <si>
    <t>Terminal Value</t>
  </si>
  <si>
    <t>PV of Terminal Value</t>
  </si>
  <si>
    <t>Enterprise Value</t>
  </si>
  <si>
    <t>Equity Value</t>
  </si>
  <si>
    <t>Implied Share Price</t>
  </si>
  <si>
    <t xml:space="preserve">   (+) Cash</t>
  </si>
  <si>
    <t xml:space="preserve">   (-) Debt</t>
  </si>
  <si>
    <t xml:space="preserve">   (-) Minority Interest</t>
  </si>
  <si>
    <t>Dilluted Shares Outstanding</t>
  </si>
  <si>
    <t>Shares Outstanding</t>
  </si>
  <si>
    <t>Sensitivity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</si>
</sst>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yyyy\ \A"/>
    <numFmt numFmtId="165" formatCode="yyyy\ \E"/>
    <numFmt numFmtId="166" formatCode="_(* #,##0.00_);_(* \(#,##0.00\);_(* &quot;-&quot;??_);_(@_)"/>
    <numFmt numFmtId="167" formatCode="_(&quot;$&quot;* #,##0.00_);_(&quot;$&quot;* \(#,##0.00\);_(&quot;$&quot;* &quot;-&quot;??_);_(@_)"/>
    <numFmt numFmtId="168" formatCode="0.0"/>
    <numFmt numFmtId="169" formatCode="0.0%"/>
    <numFmt numFmtId="170" formatCode="0.000%"/>
    <numFmt numFmtId="171" formatCode="0.0000%"/>
    <numFmt numFmtId="172" formatCode="0.000"/>
  </numFmts>
  <fonts count="22" x14ac:knownFonts="1">
    <font>
      <sz val="9"/>
      <color theme="1"/>
      <name val="Arial Nova"/>
      <family val="2"/>
    </font>
    <font>
      <sz val="9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9"/>
      <color theme="1"/>
      <name val="Arial Nova"/>
      <family val="2"/>
    </font>
    <font>
      <sz val="9"/>
      <color theme="1"/>
      <name val="Arial Nova"/>
      <family val="2"/>
    </font>
    <font>
      <sz val="9"/>
      <color theme="8"/>
      <name val="Arial Nova"/>
      <family val="2"/>
    </font>
    <font>
      <b/>
      <sz val="9"/>
      <color theme="0" tint="-4.9989318521683403E-2"/>
      <name val="Arial Nova"/>
      <family val="2"/>
    </font>
    <font>
      <sz val="9"/>
      <color theme="0"/>
      <name val="Arial Nova"/>
      <family val="2"/>
    </font>
    <font>
      <sz val="10"/>
      <name val="Arial"/>
      <family val="2"/>
    </font>
    <font>
      <b/>
      <sz val="7"/>
      <name val="Times New Roman"/>
      <family val="1"/>
    </font>
    <font>
      <b/>
      <sz val="9"/>
      <name val="Arial Nova"/>
      <family val="2"/>
    </font>
    <font>
      <sz val="9"/>
      <name val="Arial Nova"/>
      <family val="2"/>
    </font>
    <font>
      <sz val="9"/>
      <color rgb="FF000000"/>
      <name val="Arial Nova"/>
      <family val="2"/>
    </font>
    <font>
      <b/>
      <sz val="9"/>
      <color rgb="FF000000"/>
      <name val="Arial Nova"/>
      <family val="2"/>
    </font>
    <font>
      <sz val="9"/>
      <color theme="4"/>
      <name val="Arial Nova"/>
      <family val="2"/>
    </font>
    <font>
      <b/>
      <sz val="9"/>
      <color theme="4"/>
      <name val="Arial Nova"/>
      <family val="2"/>
    </font>
    <font>
      <sz val="9"/>
      <color theme="9" tint="-0.249977111117893"/>
      <name val="Arial Nova"/>
      <family val="2"/>
    </font>
    <font>
      <sz val="9"/>
      <color theme="0" tint="-4.9989318521683403E-2"/>
      <name val="Arial Nova"/>
      <family val="2"/>
    </font>
    <font>
      <b/>
      <i/>
      <sz val="9"/>
      <name val="Arial"/>
      <family val="2"/>
    </font>
    <font>
      <b/>
      <sz val="12"/>
      <color rgb="FF000000"/>
      <name val="Calibri"/>
      <family val="2"/>
    </font>
    <font>
      <b/>
      <sz val="10"/>
      <name val="Verdana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EDFF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 applyProtection="0"/>
    <xf numFmtId="0" fontId="2" fillId="0" borderId="0"/>
    <xf numFmtId="0" fontId="8" fillId="0" borderId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9">
    <xf numFmtId="0" fontId="0" fillId="0" borderId="0" xfId="0"/>
    <xf numFmtId="0" fontId="4" fillId="0" borderId="0" xfId="1" applyFont="1"/>
    <xf numFmtId="0" fontId="3" fillId="0" borderId="0" xfId="1" applyFont="1"/>
    <xf numFmtId="37" fontId="4" fillId="0" borderId="0" xfId="1" applyNumberFormat="1" applyFont="1"/>
    <xf numFmtId="37" fontId="4" fillId="0" borderId="1" xfId="1" applyNumberFormat="1" applyFont="1" applyBorder="1"/>
    <xf numFmtId="10" fontId="4" fillId="0" borderId="0" xfId="1" applyNumberFormat="1" applyFont="1"/>
    <xf numFmtId="0" fontId="4" fillId="3" borderId="2" xfId="1" applyFont="1" applyFill="1" applyBorder="1"/>
    <xf numFmtId="0" fontId="4" fillId="0" borderId="1" xfId="1" applyFont="1" applyBorder="1"/>
    <xf numFmtId="0" fontId="6" fillId="2" borderId="2" xfId="1" applyFont="1" applyFill="1" applyBorder="1" applyAlignment="1">
      <alignment horizontal="centerContinuous"/>
    </xf>
    <xf numFmtId="17" fontId="6" fillId="2" borderId="2" xfId="1" applyNumberFormat="1" applyFont="1" applyFill="1" applyBorder="1" applyAlignment="1">
      <alignment horizontal="centerContinuous"/>
    </xf>
    <xf numFmtId="0" fontId="3" fillId="4" borderId="2" xfId="1" applyFont="1" applyFill="1" applyBorder="1"/>
    <xf numFmtId="0" fontId="4" fillId="5" borderId="2" xfId="1" applyFont="1" applyFill="1" applyBorder="1"/>
    <xf numFmtId="10" fontId="4" fillId="5" borderId="2" xfId="1" applyNumberFormat="1" applyFont="1" applyFill="1" applyBorder="1"/>
    <xf numFmtId="164" fontId="4" fillId="3" borderId="2" xfId="1" applyNumberFormat="1" applyFont="1" applyFill="1" applyBorder="1" applyAlignment="1">
      <alignment horizontal="left"/>
    </xf>
    <xf numFmtId="165" fontId="4" fillId="3" borderId="2" xfId="1" applyNumberFormat="1" applyFont="1" applyFill="1" applyBorder="1" applyAlignment="1">
      <alignment horizontal="left"/>
    </xf>
    <xf numFmtId="10" fontId="5" fillId="0" borderId="0" xfId="1" applyNumberFormat="1" applyFont="1"/>
    <xf numFmtId="0" fontId="5" fillId="0" borderId="0" xfId="1" applyFont="1"/>
    <xf numFmtId="0" fontId="1" fillId="0" borderId="0" xfId="1" applyFon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3" xfId="0" applyBorder="1" applyAlignment="1">
      <alignment vertical="top" wrapText="1"/>
    </xf>
    <xf numFmtId="0" fontId="10" fillId="6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1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37" fontId="12" fillId="6" borderId="0" xfId="0" applyNumberFormat="1" applyFont="1" applyFill="1" applyAlignment="1">
      <alignment vertical="top" shrinkToFit="1"/>
    </xf>
    <xf numFmtId="37" fontId="12" fillId="0" borderId="0" xfId="0" applyNumberFormat="1" applyFont="1" applyAlignment="1">
      <alignment vertical="top" shrinkToFit="1"/>
    </xf>
    <xf numFmtId="0" fontId="10" fillId="0" borderId="0" xfId="0" applyFont="1" applyAlignment="1">
      <alignment vertical="top" wrapText="1"/>
    </xf>
    <xf numFmtId="37" fontId="10" fillId="6" borderId="0" xfId="0" applyNumberFormat="1" applyFont="1" applyFill="1" applyAlignment="1">
      <alignment vertical="top" wrapText="1"/>
    </xf>
    <xf numFmtId="37" fontId="0" fillId="0" borderId="0" xfId="0" applyNumberFormat="1" applyAlignment="1">
      <alignment wrapText="1"/>
    </xf>
    <xf numFmtId="37" fontId="12" fillId="6" borderId="5" xfId="0" applyNumberFormat="1" applyFont="1" applyFill="1" applyBorder="1" applyAlignment="1">
      <alignment vertical="top" shrinkToFit="1"/>
    </xf>
    <xf numFmtId="37" fontId="12" fillId="0" borderId="7" xfId="0" applyNumberFormat="1" applyFont="1" applyBorder="1" applyAlignment="1">
      <alignment vertical="top" shrinkToFit="1"/>
    </xf>
    <xf numFmtId="37" fontId="12" fillId="0" borderId="6" xfId="0" applyNumberFormat="1" applyFont="1" applyBorder="1" applyAlignment="1">
      <alignment vertical="top" shrinkToFit="1"/>
    </xf>
    <xf numFmtId="37" fontId="0" fillId="6" borderId="0" xfId="0" applyNumberFormat="1" applyFill="1" applyAlignment="1">
      <alignment wrapText="1"/>
    </xf>
    <xf numFmtId="37" fontId="11" fillId="6" borderId="0" xfId="0" applyNumberFormat="1" applyFont="1" applyFill="1" applyAlignment="1">
      <alignment vertical="top" wrapText="1"/>
    </xf>
    <xf numFmtId="37" fontId="12" fillId="0" borderId="0" xfId="0" applyNumberFormat="1" applyFont="1" applyAlignment="1">
      <alignment vertical="center" shrinkToFit="1"/>
    </xf>
    <xf numFmtId="37" fontId="12" fillId="6" borderId="6" xfId="0" applyNumberFormat="1" applyFont="1" applyFill="1" applyBorder="1" applyAlignment="1">
      <alignment vertical="top" shrinkToFit="1"/>
    </xf>
    <xf numFmtId="37" fontId="12" fillId="6" borderId="7" xfId="0" applyNumberFormat="1" applyFont="1" applyFill="1" applyBorder="1" applyAlignment="1">
      <alignment vertical="top" shrinkToFit="1"/>
    </xf>
    <xf numFmtId="37" fontId="0" fillId="6" borderId="7" xfId="0" applyNumberFormat="1" applyFill="1" applyBorder="1" applyAlignment="1">
      <alignment wrapText="1"/>
    </xf>
    <xf numFmtId="37" fontId="11" fillId="6" borderId="5" xfId="0" applyNumberFormat="1" applyFont="1" applyFill="1" applyBorder="1" applyAlignment="1">
      <alignment vertical="top" wrapText="1"/>
    </xf>
    <xf numFmtId="37" fontId="11" fillId="0" borderId="0" xfId="0" applyNumberFormat="1" applyFont="1" applyAlignment="1">
      <alignment vertical="top" wrapText="1"/>
    </xf>
    <xf numFmtId="37" fontId="11" fillId="0" borderId="6" xfId="0" applyNumberFormat="1" applyFont="1" applyBorder="1" applyAlignment="1">
      <alignment vertical="top" wrapText="1"/>
    </xf>
    <xf numFmtId="37" fontId="12" fillId="0" borderId="5" xfId="0" applyNumberFormat="1" applyFont="1" applyBorder="1" applyAlignment="1">
      <alignment vertical="top" shrinkToFit="1"/>
    </xf>
    <xf numFmtId="37" fontId="11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shrinkToFi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37" fontId="1" fillId="0" borderId="0" xfId="0" applyNumberFormat="1" applyFont="1" applyAlignment="1">
      <alignment wrapText="1"/>
    </xf>
    <xf numFmtId="0" fontId="1" fillId="6" borderId="0" xfId="0" applyFont="1" applyFill="1" applyAlignment="1">
      <alignment vertical="top" wrapText="1"/>
    </xf>
    <xf numFmtId="37" fontId="1" fillId="6" borderId="0" xfId="0" applyNumberFormat="1" applyFont="1" applyFill="1" applyAlignment="1">
      <alignment wrapText="1"/>
    </xf>
    <xf numFmtId="0" fontId="10" fillId="0" borderId="0" xfId="0" applyFont="1" applyAlignment="1">
      <alignment vertical="center" wrapText="1"/>
    </xf>
    <xf numFmtId="1" fontId="13" fillId="0" borderId="6" xfId="0" applyNumberFormat="1" applyFont="1" applyBorder="1" applyAlignment="1">
      <alignment vertical="top" shrinkToFit="1"/>
    </xf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1" fillId="6" borderId="0" xfId="0" applyFont="1" applyFill="1" applyAlignment="1">
      <alignment wrapText="1"/>
    </xf>
    <xf numFmtId="37" fontId="1" fillId="6" borderId="7" xfId="0" applyNumberFormat="1" applyFont="1" applyFill="1" applyBorder="1" applyAlignment="1">
      <alignment wrapText="1"/>
    </xf>
    <xf numFmtId="39" fontId="12" fillId="6" borderId="5" xfId="0" applyNumberFormat="1" applyFont="1" applyFill="1" applyBorder="1" applyAlignment="1">
      <alignment vertical="top" shrinkToFit="1"/>
    </xf>
    <xf numFmtId="39" fontId="12" fillId="0" borderId="6" xfId="0" applyNumberFormat="1" applyFont="1" applyBorder="1" applyAlignment="1">
      <alignment vertical="top" shrinkToFit="1"/>
    </xf>
    <xf numFmtId="0" fontId="0" fillId="0" borderId="0" xfId="1" applyFont="1"/>
    <xf numFmtId="0" fontId="1" fillId="0" borderId="1" xfId="1" applyFont="1" applyBorder="1"/>
    <xf numFmtId="37" fontId="3" fillId="0" borderId="0" xfId="1" applyNumberFormat="1" applyFont="1"/>
    <xf numFmtId="37" fontId="1" fillId="0" borderId="0" xfId="1" applyNumberFormat="1" applyFont="1"/>
    <xf numFmtId="37" fontId="1" fillId="0" borderId="1" xfId="1" applyNumberFormat="1" applyFont="1" applyBorder="1"/>
    <xf numFmtId="10" fontId="11" fillId="0" borderId="0" xfId="1" applyNumberFormat="1" applyFont="1"/>
    <xf numFmtId="37" fontId="14" fillId="0" borderId="0" xfId="1" applyNumberFormat="1" applyFont="1"/>
    <xf numFmtId="37" fontId="14" fillId="0" borderId="1" xfId="1" applyNumberFormat="1" applyFont="1" applyBorder="1"/>
    <xf numFmtId="37" fontId="15" fillId="0" borderId="0" xfId="1" applyNumberFormat="1" applyFont="1"/>
    <xf numFmtId="37" fontId="11" fillId="0" borderId="0" xfId="1" applyNumberFormat="1" applyFont="1"/>
    <xf numFmtId="37" fontId="10" fillId="0" borderId="0" xfId="1" applyNumberFormat="1" applyFont="1"/>
    <xf numFmtId="37" fontId="0" fillId="0" borderId="0" xfId="1" applyNumberFormat="1" applyFont="1"/>
    <xf numFmtId="0" fontId="1" fillId="0" borderId="3" xfId="1" applyFont="1" applyBorder="1"/>
    <xf numFmtId="0" fontId="4" fillId="3" borderId="4" xfId="1" applyFont="1" applyFill="1" applyBorder="1"/>
    <xf numFmtId="164" fontId="4" fillId="3" borderId="4" xfId="1" applyNumberFormat="1" applyFont="1" applyFill="1" applyBorder="1" applyAlignment="1">
      <alignment horizontal="left"/>
    </xf>
    <xf numFmtId="165" fontId="4" fillId="3" borderId="4" xfId="1" applyNumberFormat="1" applyFont="1" applyFill="1" applyBorder="1" applyAlignment="1">
      <alignment horizontal="left"/>
    </xf>
    <xf numFmtId="0" fontId="3" fillId="0" borderId="2" xfId="1" applyFont="1" applyBorder="1"/>
    <xf numFmtId="37" fontId="3" fillId="0" borderId="2" xfId="1" applyNumberFormat="1" applyFont="1" applyBorder="1"/>
    <xf numFmtId="10" fontId="1" fillId="0" borderId="0" xfId="1" applyNumberFormat="1" applyFont="1"/>
    <xf numFmtId="168" fontId="11" fillId="0" borderId="0" xfId="1" applyNumberFormat="1" applyFont="1"/>
    <xf numFmtId="37" fontId="16" fillId="0" borderId="0" xfId="1" applyNumberFormat="1" applyFont="1"/>
    <xf numFmtId="37" fontId="3" fillId="4" borderId="2" xfId="1" applyNumberFormat="1" applyFont="1" applyFill="1" applyBorder="1"/>
    <xf numFmtId="0" fontId="17" fillId="7" borderId="0" xfId="1" applyFont="1" applyFill="1" applyAlignment="1">
      <alignment horizontal="centerContinuous"/>
    </xf>
    <xf numFmtId="0" fontId="1" fillId="0" borderId="2" xfId="1" applyFont="1" applyBorder="1"/>
    <xf numFmtId="2" fontId="1" fillId="0" borderId="0" xfId="1" applyNumberFormat="1" applyFont="1"/>
    <xf numFmtId="37" fontId="1" fillId="0" borderId="2" xfId="1" applyNumberFormat="1" applyFont="1" applyBorder="1"/>
    <xf numFmtId="171" fontId="1" fillId="0" borderId="0" xfId="1" applyNumberFormat="1" applyFont="1"/>
    <xf numFmtId="169" fontId="1" fillId="0" borderId="0" xfId="1" applyNumberFormat="1" applyFont="1"/>
    <xf numFmtId="170" fontId="1" fillId="0" borderId="0" xfId="1" applyNumberFormat="1" applyFont="1"/>
    <xf numFmtId="10" fontId="3" fillId="4" borderId="2" xfId="1" applyNumberFormat="1" applyFont="1" applyFill="1" applyBorder="1"/>
    <xf numFmtId="10" fontId="3" fillId="0" borderId="2" xfId="1" applyNumberFormat="1" applyFont="1" applyBorder="1"/>
    <xf numFmtId="172" fontId="1" fillId="0" borderId="0" xfId="1" applyNumberFormat="1" applyFont="1"/>
    <xf numFmtId="0" fontId="6" fillId="2" borderId="4" xfId="1" applyFont="1" applyFill="1" applyBorder="1" applyAlignment="1">
      <alignment horizontal="centerContinuous"/>
    </xf>
    <xf numFmtId="172" fontId="3" fillId="0" borderId="0" xfId="1" applyNumberFormat="1" applyFont="1"/>
    <xf numFmtId="0" fontId="6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10" fontId="1" fillId="8" borderId="0" xfId="1" applyNumberFormat="1" applyFont="1" applyFill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10" fontId="21" fillId="0" borderId="0" xfId="0" applyNumberFormat="1" applyFont="1" applyAlignment="1">
      <alignment horizontal="center"/>
    </xf>
    <xf numFmtId="3" fontId="0" fillId="0" borderId="2" xfId="0" applyNumberFormat="1" applyBorder="1"/>
    <xf numFmtId="1" fontId="3" fillId="4" borderId="2" xfId="1" applyNumberFormat="1" applyFont="1" applyFill="1" applyBorder="1"/>
    <xf numFmtId="37" fontId="1" fillId="9" borderId="0" xfId="1" applyNumberFormat="1" applyFont="1" applyFill="1"/>
    <xf numFmtId="37" fontId="7" fillId="2" borderId="0" xfId="1" applyNumberFormat="1" applyFont="1" applyFill="1"/>
    <xf numFmtId="0" fontId="6" fillId="2" borderId="0" xfId="1" applyFont="1" applyFill="1" applyAlignment="1">
      <alignment horizontal="center" vertical="center" textRotation="90"/>
    </xf>
  </cellXfs>
  <cellStyles count="7">
    <cellStyle name="Comma 2" xfId="3" xr:uid="{B6D102D2-6CE0-4AA5-B380-C13FCD289132}"/>
    <cellStyle name="Currency 2" xfId="4" xr:uid="{632F05F6-D5D5-4A5B-8115-0538B3B88E37}"/>
    <cellStyle name="Normal" xfId="0" builtinId="0" customBuiltin="1"/>
    <cellStyle name="Normal 2" xfId="1" xr:uid="{3E7BDF71-DD79-47EF-B0DE-85373C6BD6D7}"/>
    <cellStyle name="Normal 2 2" xfId="2" xr:uid="{CBA75624-342D-4E3C-94F9-1E69086E0F4A}"/>
    <cellStyle name="Percent 10" xfId="5" xr:uid="{115E64FF-B98F-4708-8955-CDE61C44009F}"/>
    <cellStyle name="Percent 2" xfId="6" xr:uid="{3E13F0C2-C90D-4A8E-B2DD-9C27341490C4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" x14ac:dyDescent="0.2"/>
  <sheetData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228E-CA36-4045-8B76-E4971B8E0A4F}">
  <dimension ref="B2:BR22"/>
  <sheetViews>
    <sheetView showGridLines="0" workbookViewId="0"/>
  </sheetViews>
  <sheetFormatPr defaultRowHeight="12" x14ac:dyDescent="0.2"/>
  <cols>
    <col min="1" max="1" width="9.140625" style="17"/>
    <col min="2" max="2" width="39.85546875" style="17" bestFit="1" customWidth="1"/>
    <col min="3" max="5" width="10" style="17" bestFit="1" customWidth="1"/>
    <col min="6" max="49" width="9.140625" style="17"/>
    <col min="50" max="50" width="19.5703125" style="17" bestFit="1" customWidth="1"/>
    <col min="51" max="16384" width="9.140625" style="17"/>
  </cols>
  <sheetData>
    <row r="2" spans="2:70" ht="51" customHeight="1" x14ac:dyDescent="0.2">
      <c r="B2" s="53" t="s">
        <v>112</v>
      </c>
      <c r="C2" s="53"/>
      <c r="D2" s="53"/>
      <c r="E2" s="53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47"/>
      <c r="BM2" s="47"/>
      <c r="BN2" s="47"/>
      <c r="BO2" s="47"/>
      <c r="BP2" s="47"/>
      <c r="BQ2" s="47"/>
      <c r="BR2" s="47"/>
    </row>
    <row r="3" spans="2:70" x14ac:dyDescent="0.2">
      <c r="B3" s="54"/>
      <c r="C3" s="52">
        <v>2022</v>
      </c>
      <c r="D3" s="52">
        <v>2023</v>
      </c>
      <c r="E3" s="52">
        <v>2024</v>
      </c>
    </row>
    <row r="4" spans="2:70" x14ac:dyDescent="0.2">
      <c r="B4" s="24" t="s">
        <v>0</v>
      </c>
      <c r="C4" s="38">
        <v>31615550</v>
      </c>
      <c r="D4" s="38">
        <v>33723297</v>
      </c>
      <c r="E4" s="38">
        <v>39000966</v>
      </c>
    </row>
    <row r="5" spans="2:70" x14ac:dyDescent="0.2">
      <c r="B5" s="22" t="s">
        <v>1</v>
      </c>
      <c r="C5" s="27">
        <v>19168285</v>
      </c>
      <c r="D5" s="27">
        <v>19715368</v>
      </c>
      <c r="E5" s="27">
        <v>21038464</v>
      </c>
    </row>
    <row r="6" spans="2:70" x14ac:dyDescent="0.2">
      <c r="B6" s="24" t="s">
        <v>2</v>
      </c>
      <c r="C6" s="26">
        <v>2530502</v>
      </c>
      <c r="D6" s="26">
        <v>2657883</v>
      </c>
      <c r="E6" s="26">
        <v>2917554</v>
      </c>
      <c r="AX6" s="28"/>
    </row>
    <row r="7" spans="2:70" x14ac:dyDescent="0.2">
      <c r="B7" s="22" t="s">
        <v>3</v>
      </c>
      <c r="C7" s="27">
        <v>2711041</v>
      </c>
      <c r="D7" s="27">
        <v>2675758</v>
      </c>
      <c r="E7" s="27">
        <v>2925295</v>
      </c>
    </row>
    <row r="8" spans="2:70" x14ac:dyDescent="0.2">
      <c r="B8" s="24" t="s">
        <v>4</v>
      </c>
      <c r="C8" s="31">
        <v>1572891</v>
      </c>
      <c r="D8" s="31">
        <v>1720285</v>
      </c>
      <c r="E8" s="31">
        <v>1702039</v>
      </c>
    </row>
    <row r="9" spans="2:70" x14ac:dyDescent="0.2">
      <c r="B9" s="22" t="s">
        <v>5</v>
      </c>
      <c r="C9" s="32">
        <v>5632831</v>
      </c>
      <c r="D9" s="32">
        <v>6954003</v>
      </c>
      <c r="E9" s="32">
        <v>10417614</v>
      </c>
    </row>
    <row r="10" spans="2:70" x14ac:dyDescent="0.2">
      <c r="B10" s="24" t="s">
        <v>6</v>
      </c>
      <c r="C10" s="50"/>
      <c r="D10" s="50"/>
      <c r="E10" s="50"/>
    </row>
    <row r="11" spans="2:70" x14ac:dyDescent="0.2">
      <c r="B11" s="22" t="s">
        <v>7</v>
      </c>
      <c r="C11" s="27">
        <v>-706212</v>
      </c>
      <c r="D11" s="27">
        <v>-699826</v>
      </c>
      <c r="E11" s="27">
        <v>-718733</v>
      </c>
    </row>
    <row r="12" spans="2:70" x14ac:dyDescent="0.2">
      <c r="B12" s="24" t="s">
        <v>8</v>
      </c>
      <c r="C12" s="31">
        <v>337310</v>
      </c>
      <c r="D12" s="31">
        <v>-48772</v>
      </c>
      <c r="E12" s="31">
        <v>266776</v>
      </c>
    </row>
    <row r="13" spans="2:70" x14ac:dyDescent="0.2">
      <c r="B13" s="22" t="s">
        <v>9</v>
      </c>
      <c r="C13" s="32">
        <v>5263929</v>
      </c>
      <c r="D13" s="32">
        <v>6205405</v>
      </c>
      <c r="E13" s="32">
        <v>9965657</v>
      </c>
    </row>
    <row r="14" spans="2:70" x14ac:dyDescent="0.2">
      <c r="B14" s="24" t="s">
        <v>10</v>
      </c>
      <c r="C14" s="31">
        <v>-772005</v>
      </c>
      <c r="D14" s="31">
        <v>-797415</v>
      </c>
      <c r="E14" s="31">
        <v>-1254026</v>
      </c>
    </row>
    <row r="15" spans="2:70" x14ac:dyDescent="0.2">
      <c r="B15" s="22" t="s">
        <v>11</v>
      </c>
      <c r="C15" s="33">
        <v>4491924</v>
      </c>
      <c r="D15" s="33">
        <v>5407990</v>
      </c>
      <c r="E15" s="33">
        <v>8711631</v>
      </c>
    </row>
    <row r="16" spans="2:70" x14ac:dyDescent="0.2">
      <c r="B16" s="55"/>
      <c r="C16" s="56"/>
      <c r="D16" s="56"/>
      <c r="E16" s="56"/>
    </row>
    <row r="17" spans="2:5" x14ac:dyDescent="0.2">
      <c r="B17" s="22" t="s">
        <v>12</v>
      </c>
      <c r="C17" s="48"/>
      <c r="D17" s="48"/>
      <c r="E17" s="48"/>
    </row>
    <row r="18" spans="2:5" x14ac:dyDescent="0.2">
      <c r="B18" s="24" t="s">
        <v>110</v>
      </c>
      <c r="C18" s="57">
        <v>10.1</v>
      </c>
      <c r="D18" s="57">
        <v>12.25</v>
      </c>
      <c r="E18" s="57">
        <v>20.28</v>
      </c>
    </row>
    <row r="19" spans="2:5" x14ac:dyDescent="0.2">
      <c r="B19" s="22" t="s">
        <v>109</v>
      </c>
      <c r="C19" s="58">
        <v>9.9499999999999993</v>
      </c>
      <c r="D19" s="58">
        <v>12.03</v>
      </c>
      <c r="E19" s="58">
        <v>19.829999999999998</v>
      </c>
    </row>
    <row r="20" spans="2:5" ht="24" x14ac:dyDescent="0.2">
      <c r="B20" s="24" t="s">
        <v>13</v>
      </c>
      <c r="C20" s="35"/>
      <c r="D20" s="35"/>
      <c r="E20" s="35"/>
    </row>
    <row r="21" spans="2:5" x14ac:dyDescent="0.2">
      <c r="B21" s="22" t="s">
        <v>110</v>
      </c>
      <c r="C21" s="43">
        <v>444698</v>
      </c>
      <c r="D21" s="43">
        <v>441571</v>
      </c>
      <c r="E21" s="43">
        <v>429519</v>
      </c>
    </row>
    <row r="22" spans="2:5" x14ac:dyDescent="0.2">
      <c r="B22" s="24" t="s">
        <v>109</v>
      </c>
      <c r="C22" s="37">
        <v>451290</v>
      </c>
      <c r="D22" s="37">
        <v>449498</v>
      </c>
      <c r="E22" s="37">
        <v>439261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94E9-9537-455F-9514-C042C30CAC9E}">
  <dimension ref="B2:BT15"/>
  <sheetViews>
    <sheetView showGridLines="0" workbookViewId="0">
      <selection activeCell="B7" sqref="B7"/>
    </sheetView>
  </sheetViews>
  <sheetFormatPr defaultRowHeight="12" x14ac:dyDescent="0.2"/>
  <cols>
    <col min="1" max="1" width="9.140625" style="17"/>
    <col min="2" max="2" width="102.140625" style="17" bestFit="1" customWidth="1"/>
    <col min="3" max="16384" width="9.140625" style="17"/>
  </cols>
  <sheetData>
    <row r="2" spans="2:72" ht="36" x14ac:dyDescent="0.2">
      <c r="B2" s="46" t="s">
        <v>123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</row>
    <row r="3" spans="2:72" x14ac:dyDescent="0.2">
      <c r="B3" s="47"/>
      <c r="C3" s="45">
        <v>2022</v>
      </c>
      <c r="D3" s="45">
        <v>2023</v>
      </c>
      <c r="E3" s="45">
        <v>2024</v>
      </c>
    </row>
    <row r="4" spans="2:72" x14ac:dyDescent="0.2">
      <c r="B4" s="24" t="s">
        <v>11</v>
      </c>
      <c r="C4" s="38">
        <v>4491924</v>
      </c>
      <c r="D4" s="38">
        <v>5407990</v>
      </c>
      <c r="E4" s="38">
        <v>8711631</v>
      </c>
    </row>
    <row r="5" spans="2:72" x14ac:dyDescent="0.2">
      <c r="B5" s="22" t="s">
        <v>74</v>
      </c>
      <c r="C5" s="48"/>
      <c r="D5" s="48"/>
      <c r="E5" s="48"/>
    </row>
    <row r="6" spans="2:72" ht="24" x14ac:dyDescent="0.2">
      <c r="B6" s="49" t="s">
        <v>122</v>
      </c>
      <c r="C6" s="26">
        <v>-176811</v>
      </c>
      <c r="D6" s="26">
        <v>113384</v>
      </c>
      <c r="E6" s="26">
        <v>-247949</v>
      </c>
    </row>
    <row r="7" spans="2:72" ht="24" x14ac:dyDescent="0.2">
      <c r="B7" s="22" t="s">
        <v>75</v>
      </c>
      <c r="C7" s="41" t="s">
        <v>118</v>
      </c>
      <c r="D7" s="41" t="s">
        <v>118</v>
      </c>
      <c r="E7" s="27">
        <v>2511</v>
      </c>
    </row>
    <row r="8" spans="2:72" x14ac:dyDescent="0.2">
      <c r="B8" s="24" t="s">
        <v>76</v>
      </c>
      <c r="C8" s="50"/>
      <c r="D8" s="50"/>
      <c r="E8" s="50"/>
    </row>
    <row r="9" spans="2:72" x14ac:dyDescent="0.2">
      <c r="B9" s="22" t="s">
        <v>77</v>
      </c>
      <c r="C9" s="41" t="s">
        <v>118</v>
      </c>
      <c r="D9" s="27">
        <v>-120023</v>
      </c>
      <c r="E9" s="27">
        <v>921227</v>
      </c>
    </row>
    <row r="10" spans="2:72" x14ac:dyDescent="0.2">
      <c r="B10" s="24" t="s">
        <v>78</v>
      </c>
      <c r="C10" s="40" t="s">
        <v>118</v>
      </c>
      <c r="D10" s="40" t="s">
        <v>118</v>
      </c>
      <c r="E10" s="31">
        <v>-96795</v>
      </c>
    </row>
    <row r="11" spans="2:72" x14ac:dyDescent="0.2">
      <c r="B11" s="22" t="s">
        <v>79</v>
      </c>
      <c r="C11" s="42" t="s">
        <v>118</v>
      </c>
      <c r="D11" s="33">
        <v>-120023</v>
      </c>
      <c r="E11" s="33">
        <v>824432</v>
      </c>
    </row>
    <row r="12" spans="2:72" x14ac:dyDescent="0.2">
      <c r="B12" s="24" t="s">
        <v>80</v>
      </c>
      <c r="C12" s="35"/>
      <c r="D12" s="35"/>
      <c r="E12" s="35"/>
    </row>
    <row r="13" spans="2:72" ht="24" x14ac:dyDescent="0.2">
      <c r="B13" s="22" t="s">
        <v>81</v>
      </c>
      <c r="C13" s="44" t="s">
        <v>118</v>
      </c>
      <c r="D13" s="44" t="s">
        <v>118</v>
      </c>
      <c r="E13" s="43">
        <v>7113</v>
      </c>
    </row>
    <row r="14" spans="2:72" x14ac:dyDescent="0.2">
      <c r="B14" s="24" t="s">
        <v>82</v>
      </c>
      <c r="C14" s="37">
        <v>-176811</v>
      </c>
      <c r="D14" s="37">
        <v>-6639</v>
      </c>
      <c r="E14" s="37">
        <v>586107</v>
      </c>
    </row>
    <row r="15" spans="2:72" x14ac:dyDescent="0.2">
      <c r="B15" s="22" t="s">
        <v>83</v>
      </c>
      <c r="C15" s="33">
        <v>4315113</v>
      </c>
      <c r="D15" s="33">
        <v>5401351</v>
      </c>
      <c r="E15" s="33">
        <v>9297738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B424-4A78-4530-95B6-6B1DDE6A3CDC}">
  <dimension ref="B2:BT43"/>
  <sheetViews>
    <sheetView showGridLines="0" workbookViewId="0">
      <selection activeCell="B31" sqref="B31"/>
    </sheetView>
  </sheetViews>
  <sheetFormatPr defaultRowHeight="12" x14ac:dyDescent="0.2"/>
  <cols>
    <col min="1" max="1" width="9.140625" style="17"/>
    <col min="2" max="2" width="58.140625" style="17" bestFit="1" customWidth="1"/>
    <col min="3" max="5" width="9.85546875" style="17" bestFit="1" customWidth="1"/>
    <col min="6" max="42" width="9.140625" style="17"/>
    <col min="43" max="43" width="9.85546875" style="17" bestFit="1" customWidth="1"/>
    <col min="44" max="53" width="9.140625" style="17"/>
    <col min="54" max="54" width="9.85546875" style="17" bestFit="1" customWidth="1"/>
    <col min="55" max="63" width="9.140625" style="17"/>
    <col min="64" max="64" width="9.85546875" style="17" bestFit="1" customWidth="1"/>
    <col min="65" max="16384" width="9.140625" style="17"/>
  </cols>
  <sheetData>
    <row r="2" spans="2:72" ht="24" x14ac:dyDescent="0.2">
      <c r="B2" s="18" t="s">
        <v>120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</row>
    <row r="3" spans="2:72" x14ac:dyDescent="0.2">
      <c r="B3" s="51" t="s">
        <v>121</v>
      </c>
      <c r="C3" s="51"/>
      <c r="D3" s="51"/>
      <c r="E3" s="51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</row>
    <row r="4" spans="2:72" x14ac:dyDescent="0.2">
      <c r="B4" s="23"/>
      <c r="C4" s="52">
        <v>2022</v>
      </c>
      <c r="D4" s="52">
        <v>2023</v>
      </c>
      <c r="E4" s="52">
        <v>2024</v>
      </c>
    </row>
    <row r="5" spans="2:72" x14ac:dyDescent="0.2">
      <c r="B5" s="21" t="s">
        <v>14</v>
      </c>
      <c r="C5" s="39"/>
      <c r="D5" s="39"/>
      <c r="E5" s="39"/>
    </row>
    <row r="6" spans="2:72" x14ac:dyDescent="0.2">
      <c r="B6" s="22" t="s">
        <v>11</v>
      </c>
      <c r="C6" s="27">
        <v>4491924</v>
      </c>
      <c r="D6" s="27">
        <v>5407990</v>
      </c>
      <c r="E6" s="27">
        <v>8711631</v>
      </c>
    </row>
    <row r="7" spans="2:72" ht="24" x14ac:dyDescent="0.2">
      <c r="B7" s="24" t="s">
        <v>15</v>
      </c>
      <c r="C7" s="34"/>
      <c r="D7" s="34"/>
      <c r="E7" s="34"/>
    </row>
    <row r="8" spans="2:72" x14ac:dyDescent="0.2">
      <c r="B8" s="22" t="s">
        <v>16</v>
      </c>
      <c r="C8" s="27">
        <v>-16839038</v>
      </c>
      <c r="D8" s="27">
        <v>-12554703</v>
      </c>
      <c r="E8" s="27">
        <v>-16223617</v>
      </c>
    </row>
    <row r="9" spans="2:72" x14ac:dyDescent="0.2">
      <c r="B9" s="24" t="s">
        <v>17</v>
      </c>
      <c r="C9" s="26">
        <v>179310</v>
      </c>
      <c r="D9" s="26">
        <v>-585602</v>
      </c>
      <c r="E9" s="26">
        <v>-779135</v>
      </c>
    </row>
    <row r="10" spans="2:72" x14ac:dyDescent="0.2">
      <c r="B10" s="22" t="s">
        <v>18</v>
      </c>
      <c r="C10" s="27">
        <v>14026132</v>
      </c>
      <c r="D10" s="27">
        <v>14197437</v>
      </c>
      <c r="E10" s="27">
        <v>15301517</v>
      </c>
    </row>
    <row r="11" spans="2:72" x14ac:dyDescent="0.2">
      <c r="B11" s="24" t="s">
        <v>19</v>
      </c>
      <c r="C11" s="26">
        <v>336682</v>
      </c>
      <c r="D11" s="26">
        <v>356947</v>
      </c>
      <c r="E11" s="26">
        <v>328914</v>
      </c>
    </row>
    <row r="12" spans="2:72" x14ac:dyDescent="0.2">
      <c r="B12" s="22" t="s">
        <v>20</v>
      </c>
      <c r="C12" s="27">
        <v>575452</v>
      </c>
      <c r="D12" s="27">
        <v>339368</v>
      </c>
      <c r="E12" s="27">
        <v>272588</v>
      </c>
    </row>
    <row r="13" spans="2:72" x14ac:dyDescent="0.2">
      <c r="B13" s="24" t="s">
        <v>21</v>
      </c>
      <c r="C13" s="26">
        <v>-353111</v>
      </c>
      <c r="D13" s="26">
        <v>176296</v>
      </c>
      <c r="E13" s="26">
        <v>-121539</v>
      </c>
    </row>
    <row r="14" spans="2:72" x14ac:dyDescent="0.2">
      <c r="B14" s="22" t="s">
        <v>22</v>
      </c>
      <c r="C14" s="27">
        <v>533543</v>
      </c>
      <c r="D14" s="27">
        <v>512075</v>
      </c>
      <c r="E14" s="27">
        <v>494778</v>
      </c>
    </row>
    <row r="15" spans="2:72" x14ac:dyDescent="0.2">
      <c r="B15" s="24" t="s">
        <v>23</v>
      </c>
      <c r="C15" s="26">
        <v>-166550</v>
      </c>
      <c r="D15" s="26">
        <v>-459359</v>
      </c>
      <c r="E15" s="26">
        <v>-590698</v>
      </c>
    </row>
    <row r="16" spans="2:72" x14ac:dyDescent="0.2">
      <c r="B16" s="22" t="s">
        <v>24</v>
      </c>
      <c r="C16" s="30"/>
      <c r="D16" s="30"/>
      <c r="E16" s="30"/>
    </row>
    <row r="17" spans="2:5" x14ac:dyDescent="0.2">
      <c r="B17" s="24" t="s">
        <v>25</v>
      </c>
      <c r="C17" s="26">
        <v>-353834</v>
      </c>
      <c r="D17" s="26">
        <v>-181003</v>
      </c>
      <c r="E17" s="26">
        <v>22180</v>
      </c>
    </row>
    <row r="18" spans="2:5" x14ac:dyDescent="0.2">
      <c r="B18" s="22" t="s">
        <v>26</v>
      </c>
      <c r="C18" s="27">
        <v>-158543</v>
      </c>
      <c r="D18" s="27">
        <v>93502</v>
      </c>
      <c r="E18" s="27">
        <v>121353</v>
      </c>
    </row>
    <row r="19" spans="2:5" x14ac:dyDescent="0.2">
      <c r="B19" s="24" t="s">
        <v>27</v>
      </c>
      <c r="C19" s="26">
        <v>-55513</v>
      </c>
      <c r="D19" s="26">
        <v>103565</v>
      </c>
      <c r="E19" s="26">
        <v>191899</v>
      </c>
    </row>
    <row r="20" spans="2:5" x14ac:dyDescent="0.2">
      <c r="B20" s="22" t="s">
        <v>28</v>
      </c>
      <c r="C20" s="27">
        <v>27356</v>
      </c>
      <c r="D20" s="27">
        <v>178708</v>
      </c>
      <c r="E20" s="27">
        <v>77844</v>
      </c>
    </row>
    <row r="21" spans="2:5" x14ac:dyDescent="0.2">
      <c r="B21" s="24" t="s">
        <v>29</v>
      </c>
      <c r="C21" s="31">
        <v>-217553</v>
      </c>
      <c r="D21" s="31">
        <v>-310920</v>
      </c>
      <c r="E21" s="31">
        <v>-446351</v>
      </c>
    </row>
    <row r="22" spans="2:5" x14ac:dyDescent="0.2">
      <c r="B22" s="22" t="s">
        <v>30</v>
      </c>
      <c r="C22" s="33">
        <v>2026257</v>
      </c>
      <c r="D22" s="33">
        <v>7274301</v>
      </c>
      <c r="E22" s="33">
        <v>7361364</v>
      </c>
    </row>
    <row r="23" spans="2:5" x14ac:dyDescent="0.2">
      <c r="B23" s="21" t="s">
        <v>31</v>
      </c>
      <c r="C23" s="39"/>
      <c r="D23" s="39"/>
      <c r="E23" s="39"/>
    </row>
    <row r="24" spans="2:5" x14ac:dyDescent="0.2">
      <c r="B24" s="22" t="s">
        <v>32</v>
      </c>
      <c r="C24" s="27">
        <v>-407729</v>
      </c>
      <c r="D24" s="27">
        <v>-348552</v>
      </c>
      <c r="E24" s="27">
        <v>-439538</v>
      </c>
    </row>
    <row r="25" spans="2:5" x14ac:dyDescent="0.2">
      <c r="B25" s="24" t="s">
        <v>33</v>
      </c>
      <c r="C25" s="26">
        <v>-757387</v>
      </c>
      <c r="D25" s="35" t="s">
        <v>118</v>
      </c>
      <c r="E25" s="35" t="s">
        <v>118</v>
      </c>
    </row>
    <row r="26" spans="2:5" x14ac:dyDescent="0.2">
      <c r="B26" s="22" t="s">
        <v>34</v>
      </c>
      <c r="C26" s="27">
        <v>-911276</v>
      </c>
      <c r="D26" s="27">
        <v>-504862</v>
      </c>
      <c r="E26" s="27">
        <v>-1742246</v>
      </c>
    </row>
    <row r="27" spans="2:5" x14ac:dyDescent="0.2">
      <c r="B27" s="24" t="s">
        <v>35</v>
      </c>
      <c r="C27" s="40" t="s">
        <v>118</v>
      </c>
      <c r="D27" s="31">
        <v>1395165</v>
      </c>
      <c r="E27" s="40" t="s">
        <v>118</v>
      </c>
    </row>
    <row r="28" spans="2:5" x14ac:dyDescent="0.2">
      <c r="B28" s="22" t="s">
        <v>36</v>
      </c>
      <c r="C28" s="33">
        <v>-2076392</v>
      </c>
      <c r="D28" s="33">
        <v>541751</v>
      </c>
      <c r="E28" s="33">
        <v>-2181784</v>
      </c>
    </row>
    <row r="29" spans="2:5" x14ac:dyDescent="0.2">
      <c r="B29" s="21" t="s">
        <v>37</v>
      </c>
      <c r="C29" s="39"/>
      <c r="D29" s="39"/>
      <c r="E29" s="39"/>
    </row>
    <row r="30" spans="2:5" x14ac:dyDescent="0.2">
      <c r="B30" s="22" t="s">
        <v>38</v>
      </c>
      <c r="C30" s="41" t="s">
        <v>118</v>
      </c>
      <c r="D30" s="41" t="s">
        <v>118</v>
      </c>
      <c r="E30" s="27">
        <v>1794460</v>
      </c>
    </row>
    <row r="31" spans="2:5" x14ac:dyDescent="0.2">
      <c r="B31" s="24" t="s">
        <v>39</v>
      </c>
      <c r="C31" s="26">
        <v>-700000</v>
      </c>
      <c r="D31" s="35" t="s">
        <v>118</v>
      </c>
      <c r="E31" s="26">
        <v>-400000</v>
      </c>
    </row>
    <row r="32" spans="2:5" x14ac:dyDescent="0.2">
      <c r="B32" s="22" t="s">
        <v>40</v>
      </c>
      <c r="C32" s="27">
        <v>35746</v>
      </c>
      <c r="D32" s="27">
        <v>169990</v>
      </c>
      <c r="E32" s="27">
        <v>832887</v>
      </c>
    </row>
    <row r="33" spans="2:5" x14ac:dyDescent="0.2">
      <c r="B33" s="24" t="s">
        <v>41</v>
      </c>
      <c r="C33" s="35" t="s">
        <v>118</v>
      </c>
      <c r="D33" s="26">
        <v>-6045347</v>
      </c>
      <c r="E33" s="26">
        <v>-6263746</v>
      </c>
    </row>
    <row r="34" spans="2:5" x14ac:dyDescent="0.2">
      <c r="B34" s="22" t="s">
        <v>42</v>
      </c>
      <c r="C34" s="41" t="s">
        <v>118</v>
      </c>
      <c r="D34" s="41" t="s">
        <v>118</v>
      </c>
      <c r="E34" s="27">
        <v>-8285</v>
      </c>
    </row>
    <row r="35" spans="2:5" x14ac:dyDescent="0.2">
      <c r="B35" s="24" t="s">
        <v>43</v>
      </c>
      <c r="C35" s="40" t="s">
        <v>118</v>
      </c>
      <c r="D35" s="31">
        <v>-75446</v>
      </c>
      <c r="E35" s="31">
        <v>-29743</v>
      </c>
    </row>
    <row r="36" spans="2:5" x14ac:dyDescent="0.2">
      <c r="B36" s="22" t="s">
        <v>44</v>
      </c>
      <c r="C36" s="33">
        <v>-664254</v>
      </c>
      <c r="D36" s="33">
        <v>-5950803</v>
      </c>
      <c r="E36" s="33">
        <v>-4074427</v>
      </c>
    </row>
    <row r="37" spans="2:5" ht="24" x14ac:dyDescent="0.2">
      <c r="B37" s="24" t="s">
        <v>45</v>
      </c>
      <c r="C37" s="38">
        <v>-170140</v>
      </c>
      <c r="D37" s="38">
        <v>82684</v>
      </c>
      <c r="E37" s="38">
        <v>-416331</v>
      </c>
    </row>
    <row r="38" spans="2:5" x14ac:dyDescent="0.2">
      <c r="B38" s="22" t="s">
        <v>46</v>
      </c>
      <c r="C38" s="27">
        <v>-884529</v>
      </c>
      <c r="D38" s="27">
        <v>1947933</v>
      </c>
      <c r="E38" s="27">
        <v>688822</v>
      </c>
    </row>
    <row r="39" spans="2:5" x14ac:dyDescent="0.2">
      <c r="B39" s="24" t="s">
        <v>47</v>
      </c>
      <c r="C39" s="31">
        <v>6055111</v>
      </c>
      <c r="D39" s="31">
        <v>5170582</v>
      </c>
      <c r="E39" s="31">
        <v>7118515</v>
      </c>
    </row>
    <row r="40" spans="2:5" x14ac:dyDescent="0.2">
      <c r="B40" s="22" t="s">
        <v>48</v>
      </c>
      <c r="C40" s="33">
        <v>5170582</v>
      </c>
      <c r="D40" s="33">
        <v>7118515</v>
      </c>
      <c r="E40" s="33">
        <v>7807337</v>
      </c>
    </row>
    <row r="41" spans="2:5" x14ac:dyDescent="0.2">
      <c r="B41" s="21" t="s">
        <v>49</v>
      </c>
      <c r="C41" s="39"/>
      <c r="D41" s="39"/>
      <c r="E41" s="39"/>
    </row>
    <row r="42" spans="2:5" x14ac:dyDescent="0.2">
      <c r="B42" s="22" t="s">
        <v>50</v>
      </c>
      <c r="C42" s="27">
        <v>811720</v>
      </c>
      <c r="D42" s="27">
        <v>1154973</v>
      </c>
      <c r="E42" s="27">
        <v>1641530</v>
      </c>
    </row>
    <row r="43" spans="2:5" x14ac:dyDescent="0.2">
      <c r="B43" s="24" t="s">
        <v>51</v>
      </c>
      <c r="C43" s="26">
        <v>701693</v>
      </c>
      <c r="D43" s="26">
        <v>684504</v>
      </c>
      <c r="E43" s="26">
        <v>674502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4D8A-3842-467A-A0CD-9B7AB7852FBA}">
  <dimension ref="B2:BT34"/>
  <sheetViews>
    <sheetView showGridLines="0" workbookViewId="0">
      <selection activeCell="E20" sqref="E20"/>
    </sheetView>
  </sheetViews>
  <sheetFormatPr defaultRowHeight="12" x14ac:dyDescent="0.2"/>
  <cols>
    <col min="1" max="1" width="9.140625" style="17"/>
    <col min="2" max="2" width="85" style="17" bestFit="1" customWidth="1"/>
    <col min="3" max="4" width="10.42578125" style="17" bestFit="1" customWidth="1"/>
    <col min="5" max="5" width="11" style="17" bestFit="1" customWidth="1"/>
    <col min="6" max="49" width="9.140625" style="17"/>
    <col min="50" max="50" width="10" style="17" bestFit="1" customWidth="1"/>
    <col min="51" max="63" width="9.140625" style="17"/>
    <col min="64" max="64" width="10" style="17" bestFit="1" customWidth="1"/>
    <col min="65" max="16384" width="9.140625" style="17"/>
  </cols>
  <sheetData>
    <row r="2" spans="2:72" ht="24" x14ac:dyDescent="0.2">
      <c r="B2" s="18" t="s">
        <v>115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</row>
    <row r="3" spans="2:72" x14ac:dyDescent="0.2">
      <c r="B3" s="28" t="s">
        <v>114</v>
      </c>
      <c r="C3" s="71">
        <v>2022</v>
      </c>
      <c r="D3" s="20">
        <v>2023</v>
      </c>
      <c r="E3" s="20">
        <v>2024</v>
      </c>
    </row>
    <row r="4" spans="2:72" x14ac:dyDescent="0.2">
      <c r="B4" s="21" t="s">
        <v>111</v>
      </c>
      <c r="C4" s="29"/>
      <c r="D4" s="29"/>
      <c r="E4" s="29"/>
    </row>
    <row r="5" spans="2:72" x14ac:dyDescent="0.2">
      <c r="B5" s="22" t="s">
        <v>52</v>
      </c>
      <c r="D5" s="30"/>
      <c r="E5" s="30"/>
    </row>
    <row r="6" spans="2:72" x14ac:dyDescent="0.2">
      <c r="B6" s="24" t="s">
        <v>53</v>
      </c>
      <c r="C6" s="26">
        <v>5147176</v>
      </c>
      <c r="D6" s="26">
        <v>7116913</v>
      </c>
      <c r="E6" s="26">
        <v>7804733</v>
      </c>
    </row>
    <row r="7" spans="2:72" x14ac:dyDescent="0.2">
      <c r="B7" s="22" t="s">
        <v>54</v>
      </c>
      <c r="C7" s="27">
        <v>911276</v>
      </c>
      <c r="D7" s="27">
        <v>20973</v>
      </c>
      <c r="E7" s="27">
        <v>1779006</v>
      </c>
    </row>
    <row r="8" spans="2:72" x14ac:dyDescent="0.2">
      <c r="B8" s="24" t="s">
        <v>25</v>
      </c>
      <c r="C8" s="31">
        <v>3208021</v>
      </c>
      <c r="D8" s="31">
        <v>2780247</v>
      </c>
      <c r="E8" s="31">
        <v>3516640</v>
      </c>
    </row>
    <row r="9" spans="2:72" x14ac:dyDescent="0.2">
      <c r="B9" s="22" t="s">
        <v>55</v>
      </c>
      <c r="C9" s="32">
        <v>9266473</v>
      </c>
      <c r="D9" s="32">
        <v>9918133</v>
      </c>
      <c r="E9" s="32">
        <v>13100379</v>
      </c>
    </row>
    <row r="10" spans="2:72" x14ac:dyDescent="0.2">
      <c r="B10" s="24" t="s">
        <v>56</v>
      </c>
      <c r="C10" s="26">
        <v>32736713</v>
      </c>
      <c r="D10" s="26">
        <v>31658056</v>
      </c>
      <c r="E10" s="26">
        <v>32452462</v>
      </c>
    </row>
    <row r="11" spans="2:72" x14ac:dyDescent="0.2">
      <c r="B11" s="22" t="s">
        <v>57</v>
      </c>
      <c r="C11" s="27">
        <v>1398257</v>
      </c>
      <c r="D11" s="27">
        <v>1491444</v>
      </c>
      <c r="E11" s="27">
        <v>1593756</v>
      </c>
    </row>
    <row r="12" spans="2:72" x14ac:dyDescent="0.2">
      <c r="B12" s="24" t="s">
        <v>58</v>
      </c>
      <c r="C12" s="31">
        <v>5193325</v>
      </c>
      <c r="D12" s="31">
        <v>5664359</v>
      </c>
      <c r="E12" s="31">
        <v>6483777</v>
      </c>
    </row>
    <row r="13" spans="2:72" x14ac:dyDescent="0.2">
      <c r="B13" s="22" t="s">
        <v>59</v>
      </c>
      <c r="C13" s="33">
        <v>48594768</v>
      </c>
      <c r="D13" s="33">
        <v>48731992</v>
      </c>
      <c r="E13" s="33">
        <v>53630374</v>
      </c>
    </row>
    <row r="14" spans="2:72" x14ac:dyDescent="0.2">
      <c r="B14" s="21" t="s">
        <v>116</v>
      </c>
      <c r="C14" s="29"/>
      <c r="D14" s="29"/>
      <c r="E14" s="29"/>
    </row>
    <row r="15" spans="2:72" x14ac:dyDescent="0.2">
      <c r="B15" s="22" t="s">
        <v>60</v>
      </c>
      <c r="C15" s="48"/>
      <c r="D15" s="30"/>
      <c r="E15" s="30"/>
    </row>
    <row r="16" spans="2:72" x14ac:dyDescent="0.2">
      <c r="B16" s="24" t="s">
        <v>61</v>
      </c>
      <c r="C16" s="26">
        <v>4480150</v>
      </c>
      <c r="D16" s="26">
        <v>4466470</v>
      </c>
      <c r="E16" s="26">
        <v>4393681</v>
      </c>
    </row>
    <row r="17" spans="2:5" x14ac:dyDescent="0.2">
      <c r="B17" s="22" t="s">
        <v>26</v>
      </c>
      <c r="C17" s="27">
        <v>671513</v>
      </c>
      <c r="D17" s="27">
        <v>747412</v>
      </c>
      <c r="E17" s="27">
        <v>899909</v>
      </c>
    </row>
    <row r="18" spans="2:5" x14ac:dyDescent="0.2">
      <c r="B18" s="24" t="s">
        <v>27</v>
      </c>
      <c r="C18" s="26">
        <v>1514650</v>
      </c>
      <c r="D18" s="26">
        <v>1803960</v>
      </c>
      <c r="E18" s="26">
        <v>2156544</v>
      </c>
    </row>
    <row r="19" spans="2:5" x14ac:dyDescent="0.2">
      <c r="B19" s="22" t="s">
        <v>28</v>
      </c>
      <c r="C19" s="27">
        <v>1264661</v>
      </c>
      <c r="D19" s="27">
        <v>1442969</v>
      </c>
      <c r="E19" s="27">
        <v>1520813</v>
      </c>
    </row>
    <row r="20" spans="2:5" x14ac:dyDescent="0.2">
      <c r="B20" s="24" t="s">
        <v>62</v>
      </c>
      <c r="C20" s="40" t="s">
        <v>118</v>
      </c>
      <c r="D20" s="31">
        <v>399844</v>
      </c>
      <c r="E20" s="31">
        <v>1784453</v>
      </c>
    </row>
    <row r="21" spans="2:5" x14ac:dyDescent="0.2">
      <c r="B21" s="22" t="s">
        <v>63</v>
      </c>
      <c r="C21" s="32">
        <v>7930974</v>
      </c>
      <c r="D21" s="32">
        <v>8860655</v>
      </c>
      <c r="E21" s="32">
        <v>10755400</v>
      </c>
    </row>
    <row r="22" spans="2:5" x14ac:dyDescent="0.2">
      <c r="B22" s="24" t="s">
        <v>64</v>
      </c>
      <c r="C22" s="26">
        <v>3081277</v>
      </c>
      <c r="D22" s="26">
        <v>2578173</v>
      </c>
      <c r="E22" s="26">
        <v>1780806</v>
      </c>
    </row>
    <row r="23" spans="2:5" x14ac:dyDescent="0.2">
      <c r="B23" s="22" t="s">
        <v>65</v>
      </c>
      <c r="C23" s="27">
        <v>14353076</v>
      </c>
      <c r="D23" s="27">
        <v>14143417</v>
      </c>
      <c r="E23" s="27">
        <v>13798351</v>
      </c>
    </row>
    <row r="24" spans="2:5" x14ac:dyDescent="0.2">
      <c r="B24" s="24" t="s">
        <v>66</v>
      </c>
      <c r="C24" s="31">
        <v>2452040</v>
      </c>
      <c r="D24" s="31">
        <v>2561434</v>
      </c>
      <c r="E24" s="31">
        <v>2552250</v>
      </c>
    </row>
    <row r="25" spans="2:5" x14ac:dyDescent="0.2">
      <c r="B25" s="22" t="s">
        <v>67</v>
      </c>
      <c r="C25" s="32">
        <v>27817367</v>
      </c>
      <c r="D25" s="32">
        <v>28143679</v>
      </c>
      <c r="E25" s="32">
        <v>28886807</v>
      </c>
    </row>
    <row r="26" spans="2:5" x14ac:dyDescent="0.2">
      <c r="B26" s="24" t="s">
        <v>68</v>
      </c>
      <c r="C26" s="50"/>
      <c r="D26" s="34"/>
      <c r="E26" s="34"/>
    </row>
    <row r="27" spans="2:5" x14ac:dyDescent="0.2">
      <c r="B27" s="22" t="s">
        <v>69</v>
      </c>
      <c r="C27" s="48"/>
      <c r="D27" s="30"/>
      <c r="E27" s="30"/>
    </row>
    <row r="28" spans="2:5" ht="36" x14ac:dyDescent="0.2">
      <c r="B28" s="25" t="s">
        <v>117</v>
      </c>
      <c r="C28" s="35" t="s">
        <v>118</v>
      </c>
      <c r="D28" s="35" t="s">
        <v>118</v>
      </c>
      <c r="E28" s="35" t="s">
        <v>118</v>
      </c>
    </row>
    <row r="29" spans="2:5" ht="48" x14ac:dyDescent="0.2">
      <c r="B29" s="22" t="s">
        <v>155</v>
      </c>
      <c r="C29" s="36">
        <v>4637601</v>
      </c>
      <c r="D29" s="36">
        <v>5145172</v>
      </c>
      <c r="E29" s="36">
        <v>6252126</v>
      </c>
    </row>
    <row r="30" spans="2:5" x14ac:dyDescent="0.2">
      <c r="B30" s="24" t="s">
        <v>119</v>
      </c>
      <c r="C30" s="26">
        <v>-824190</v>
      </c>
      <c r="D30" s="26">
        <v>-6922200</v>
      </c>
      <c r="E30" s="26">
        <v>-13171638</v>
      </c>
    </row>
    <row r="31" spans="2:5" x14ac:dyDescent="0.2">
      <c r="B31" s="22" t="s">
        <v>70</v>
      </c>
      <c r="C31" s="27">
        <v>-217306</v>
      </c>
      <c r="D31" s="27">
        <v>-223945</v>
      </c>
      <c r="E31" s="27">
        <v>362162</v>
      </c>
    </row>
    <row r="32" spans="2:5" x14ac:dyDescent="0.2">
      <c r="B32" s="24" t="s">
        <v>71</v>
      </c>
      <c r="C32" s="31">
        <v>17181296</v>
      </c>
      <c r="D32" s="31">
        <v>22589286</v>
      </c>
      <c r="E32" s="31">
        <v>31300917</v>
      </c>
    </row>
    <row r="33" spans="2:5" x14ac:dyDescent="0.2">
      <c r="B33" s="22" t="s">
        <v>72</v>
      </c>
      <c r="C33" s="33">
        <v>20777401</v>
      </c>
      <c r="D33" s="33">
        <v>20588313</v>
      </c>
      <c r="E33" s="33">
        <v>24743567</v>
      </c>
    </row>
    <row r="34" spans="2:5" x14ac:dyDescent="0.2">
      <c r="B34" s="24" t="s">
        <v>73</v>
      </c>
      <c r="C34" s="37">
        <v>48594768</v>
      </c>
      <c r="D34" s="37">
        <v>48731992</v>
      </c>
      <c r="E34" s="37">
        <v>53630374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7542-52DD-4BDD-AE3E-19C791836AE5}">
  <dimension ref="B2:J18"/>
  <sheetViews>
    <sheetView showGridLines="0" workbookViewId="0">
      <selection activeCell="E24" sqref="E24:E25"/>
    </sheetView>
  </sheetViews>
  <sheetFormatPr defaultRowHeight="12" x14ac:dyDescent="0.2"/>
  <cols>
    <col min="1" max="1" width="9.140625" style="17"/>
    <col min="2" max="2" width="26.7109375" style="17" bestFit="1" customWidth="1"/>
    <col min="3" max="5" width="9.42578125" style="17" bestFit="1" customWidth="1"/>
    <col min="6" max="10" width="12" style="17" bestFit="1" customWidth="1"/>
    <col min="11" max="16384" width="9.140625" style="17"/>
  </cols>
  <sheetData>
    <row r="2" spans="2:10" x14ac:dyDescent="0.2">
      <c r="B2" s="8" t="s">
        <v>141</v>
      </c>
      <c r="C2" s="8"/>
      <c r="D2" s="9"/>
      <c r="E2" s="9"/>
      <c r="F2" s="9"/>
      <c r="G2" s="9"/>
      <c r="H2" s="9"/>
      <c r="I2" s="9"/>
      <c r="J2" s="9"/>
    </row>
    <row r="3" spans="2:10" x14ac:dyDescent="0.2">
      <c r="B3" s="6" t="s">
        <v>87</v>
      </c>
      <c r="C3" s="13">
        <v>44926</v>
      </c>
      <c r="D3" s="13">
        <v>45291</v>
      </c>
      <c r="E3" s="13">
        <v>45657</v>
      </c>
      <c r="F3" s="14">
        <v>46022</v>
      </c>
      <c r="G3" s="14">
        <v>46387</v>
      </c>
      <c r="H3" s="14">
        <v>46752</v>
      </c>
      <c r="I3" s="14">
        <v>47118</v>
      </c>
      <c r="J3" s="14">
        <v>47119</v>
      </c>
    </row>
    <row r="4" spans="2:10" x14ac:dyDescent="0.2">
      <c r="B4" s="59" t="s">
        <v>126</v>
      </c>
      <c r="C4" s="68">
        <f>C7+C6+C5</f>
        <v>1327210</v>
      </c>
      <c r="D4" s="68">
        <f>'Balance Sheet'!C11</f>
        <v>1398257</v>
      </c>
      <c r="E4" s="65">
        <f>D7</f>
        <v>1491444</v>
      </c>
      <c r="F4" s="62">
        <f>'Balance Sheet'!E11</f>
        <v>1593756</v>
      </c>
      <c r="G4" s="62">
        <f t="shared" ref="G4:J4" si="0">F7</f>
        <v>1658409.1563680265</v>
      </c>
      <c r="H4" s="62">
        <f t="shared" si="0"/>
        <v>1725685.0671779807</v>
      </c>
      <c r="I4" s="62">
        <f t="shared" si="0"/>
        <v>1795690.1284861271</v>
      </c>
      <c r="J4" s="62">
        <f t="shared" si="0"/>
        <v>1868535.0524679257</v>
      </c>
    </row>
    <row r="5" spans="2:10" x14ac:dyDescent="0.2">
      <c r="B5" s="59" t="s">
        <v>127</v>
      </c>
      <c r="C5" s="65">
        <f>'Cash Flows'!C11</f>
        <v>336682</v>
      </c>
      <c r="D5" s="65">
        <f>'Cash Flows'!D11</f>
        <v>356947</v>
      </c>
      <c r="E5" s="65">
        <f>'Cash Flows'!E11</f>
        <v>328914</v>
      </c>
      <c r="F5" s="62">
        <f>F11*F4</f>
        <v>387543.23466915585</v>
      </c>
      <c r="G5" s="62">
        <f t="shared" ref="G5:J5" si="1">G11*G4</f>
        <v>403264.52033047145</v>
      </c>
      <c r="H5" s="62">
        <f t="shared" si="1"/>
        <v>419623.56405523437</v>
      </c>
      <c r="I5" s="62">
        <f t="shared" si="1"/>
        <v>436646.23747737153</v>
      </c>
      <c r="J5" s="62">
        <f t="shared" si="1"/>
        <v>454359.46175331774</v>
      </c>
    </row>
    <row r="6" spans="2:10" ht="12.75" thickBot="1" x14ac:dyDescent="0.25">
      <c r="B6" s="60" t="s">
        <v>128</v>
      </c>
      <c r="C6" s="66">
        <f>'Cash Flows'!C24</f>
        <v>-407729</v>
      </c>
      <c r="D6" s="66">
        <f>'Cash Flows'!D24</f>
        <v>-348552</v>
      </c>
      <c r="E6" s="66">
        <f>'Cash Flows'!E24</f>
        <v>-439538</v>
      </c>
      <c r="F6" s="63">
        <f>-F12*F4</f>
        <v>-452196.39103718242</v>
      </c>
      <c r="G6" s="63">
        <f t="shared" ref="G6:J6" si="2">-G12*G4</f>
        <v>-470540.4311404255</v>
      </c>
      <c r="H6" s="63">
        <f t="shared" si="2"/>
        <v>-489628.62536338094</v>
      </c>
      <c r="I6" s="63">
        <f t="shared" si="2"/>
        <v>-509491.16145917011</v>
      </c>
      <c r="J6" s="63">
        <f t="shared" si="2"/>
        <v>-530159.45179341652</v>
      </c>
    </row>
    <row r="7" spans="2:10" ht="12.75" thickTop="1" x14ac:dyDescent="0.2">
      <c r="B7" s="2" t="s">
        <v>129</v>
      </c>
      <c r="C7" s="67">
        <f>D4</f>
        <v>1398257</v>
      </c>
      <c r="D7" s="67">
        <f>'Balance Sheet'!D11</f>
        <v>1491444</v>
      </c>
      <c r="E7" s="69">
        <f>E4-E5-E6</f>
        <v>1602068</v>
      </c>
      <c r="F7" s="61">
        <f t="shared" ref="F7:J7" si="3">F4-F5-F6</f>
        <v>1658409.1563680265</v>
      </c>
      <c r="G7" s="61">
        <f t="shared" si="3"/>
        <v>1725685.0671779807</v>
      </c>
      <c r="H7" s="61">
        <f t="shared" si="3"/>
        <v>1795690.1284861271</v>
      </c>
      <c r="I7" s="61">
        <f t="shared" si="3"/>
        <v>1868535.0524679257</v>
      </c>
      <c r="J7" s="61">
        <f t="shared" si="3"/>
        <v>1944335.0425080243</v>
      </c>
    </row>
    <row r="8" spans="2:10" x14ac:dyDescent="0.2">
      <c r="B8" s="1"/>
      <c r="C8" s="1"/>
      <c r="D8" s="1"/>
      <c r="E8" s="3"/>
      <c r="F8" s="3"/>
      <c r="G8" s="1"/>
      <c r="H8" s="1"/>
      <c r="I8" s="1"/>
      <c r="J8" s="1"/>
    </row>
    <row r="9" spans="2:10" x14ac:dyDescent="0.2">
      <c r="B9" s="8" t="s">
        <v>103</v>
      </c>
      <c r="C9" s="9"/>
      <c r="D9" s="9"/>
      <c r="E9" s="9"/>
      <c r="F9" s="9"/>
      <c r="G9" s="9"/>
      <c r="H9" s="9"/>
      <c r="I9" s="9"/>
      <c r="J9" s="9"/>
    </row>
    <row r="10" spans="2:10" x14ac:dyDescent="0.2">
      <c r="B10" s="6" t="s">
        <v>87</v>
      </c>
      <c r="C10" s="13">
        <v>45291</v>
      </c>
      <c r="D10" s="13">
        <v>45291</v>
      </c>
      <c r="E10" s="13">
        <v>45657</v>
      </c>
      <c r="F10" s="14">
        <v>46022</v>
      </c>
      <c r="G10" s="14">
        <v>46387</v>
      </c>
      <c r="H10" s="14">
        <v>46752</v>
      </c>
      <c r="I10" s="14">
        <v>47118</v>
      </c>
      <c r="J10" s="14">
        <v>47119</v>
      </c>
    </row>
    <row r="11" spans="2:10" x14ac:dyDescent="0.2">
      <c r="B11" s="59" t="s">
        <v>124</v>
      </c>
      <c r="C11" s="64">
        <f>C5/C4</f>
        <v>0.25367650936927844</v>
      </c>
      <c r="D11" s="64">
        <f>D5/D4</f>
        <v>0.25527996641532996</v>
      </c>
      <c r="E11" s="64">
        <f>E5/E4</f>
        <v>0.22053392551111539</v>
      </c>
      <c r="F11" s="64">
        <f>AVERAGE($C$11:E11)</f>
        <v>0.24316346709857459</v>
      </c>
      <c r="G11" s="64">
        <f>AVERAGE($C$11:F11)</f>
        <v>0.24316346709857459</v>
      </c>
      <c r="H11" s="64">
        <f>AVERAGE($C$11:G11)</f>
        <v>0.24316346709857459</v>
      </c>
      <c r="I11" s="64">
        <f>AVERAGE($C$11:H11)</f>
        <v>0.24316346709857459</v>
      </c>
      <c r="J11" s="64">
        <f>AVERAGE($C$11:I11)</f>
        <v>0.24316346709857456</v>
      </c>
    </row>
    <row r="12" spans="2:10" x14ac:dyDescent="0.2">
      <c r="B12" s="59" t="s">
        <v>125</v>
      </c>
      <c r="C12" s="64">
        <f>-C6/C4</f>
        <v>0.30720760090716615</v>
      </c>
      <c r="D12" s="64">
        <f>-D6/D4</f>
        <v>0.24927606298412952</v>
      </c>
      <c r="E12" s="64">
        <f>-E6/E4</f>
        <v>0.29470633828692194</v>
      </c>
      <c r="F12" s="64">
        <f>AVERAGE($C$12:E12)</f>
        <v>0.28373000072607252</v>
      </c>
      <c r="G12" s="64">
        <f>AVERAGE($C$12:F12)</f>
        <v>0.28373000072607252</v>
      </c>
      <c r="H12" s="64">
        <f>AVERAGE($C$12:G12)</f>
        <v>0.28373000072607252</v>
      </c>
      <c r="I12" s="64">
        <f>AVERAGE($C$12:H12)</f>
        <v>0.28373000072607252</v>
      </c>
      <c r="J12" s="64">
        <f>AVERAGE($C$12:I12)</f>
        <v>0.28373000072607252</v>
      </c>
    </row>
    <row r="15" spans="2:10" x14ac:dyDescent="0.2">
      <c r="B15" s="1"/>
      <c r="C15" s="16"/>
      <c r="D15" s="16"/>
      <c r="E15" s="1"/>
      <c r="F15" s="1"/>
      <c r="G15" s="1"/>
      <c r="H15" s="1"/>
      <c r="I15" s="1"/>
      <c r="J15" s="1"/>
    </row>
    <row r="16" spans="2:10" x14ac:dyDescent="0.2">
      <c r="B16" s="1"/>
      <c r="C16" s="15"/>
      <c r="D16" s="15"/>
      <c r="E16" s="1"/>
      <c r="F16" s="1"/>
      <c r="G16" s="1"/>
      <c r="H16" s="1"/>
      <c r="I16" s="1"/>
      <c r="J16" s="1"/>
    </row>
    <row r="17" spans="2:10" x14ac:dyDescent="0.2">
      <c r="B17" s="1"/>
      <c r="C17" s="15"/>
      <c r="D17" s="15"/>
      <c r="E17" s="1"/>
      <c r="F17" s="1"/>
      <c r="G17" s="1"/>
      <c r="H17" s="1"/>
      <c r="I17" s="1"/>
      <c r="J17" s="1"/>
    </row>
    <row r="18" spans="2:10" x14ac:dyDescent="0.2">
      <c r="B18" s="1"/>
      <c r="C18" s="15"/>
      <c r="D18" s="15"/>
      <c r="E18" s="1"/>
      <c r="F18" s="1"/>
      <c r="G18" s="1"/>
      <c r="H18" s="1"/>
      <c r="I18" s="1"/>
      <c r="J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0086-EF21-4F1E-BE42-B0E5671820E1}">
  <dimension ref="B2:J22"/>
  <sheetViews>
    <sheetView showGridLines="0" workbookViewId="0">
      <selection activeCell="D23" sqref="D23"/>
    </sheetView>
  </sheetViews>
  <sheetFormatPr defaultRowHeight="12" x14ac:dyDescent="0.2"/>
  <cols>
    <col min="1" max="1" width="9.140625" style="17"/>
    <col min="2" max="2" width="45.5703125" style="17" bestFit="1" customWidth="1"/>
    <col min="3" max="10" width="11" style="17" bestFit="1" customWidth="1"/>
    <col min="11" max="16384" width="9.140625" style="17"/>
  </cols>
  <sheetData>
    <row r="2" spans="2:10" x14ac:dyDescent="0.2">
      <c r="B2" s="8" t="s">
        <v>140</v>
      </c>
      <c r="C2" s="8"/>
      <c r="D2" s="9"/>
      <c r="E2" s="9"/>
      <c r="F2" s="9"/>
      <c r="G2" s="9"/>
      <c r="H2" s="9"/>
      <c r="I2" s="9"/>
      <c r="J2" s="9"/>
    </row>
    <row r="3" spans="2:10" x14ac:dyDescent="0.2">
      <c r="B3" s="72" t="s">
        <v>87</v>
      </c>
      <c r="C3" s="73">
        <v>44926</v>
      </c>
      <c r="D3" s="73">
        <v>45291</v>
      </c>
      <c r="E3" s="73">
        <v>45657</v>
      </c>
      <c r="F3" s="74">
        <v>46022</v>
      </c>
      <c r="G3" s="74">
        <v>46387</v>
      </c>
      <c r="H3" s="74">
        <v>46752</v>
      </c>
      <c r="I3" s="74">
        <v>47118</v>
      </c>
      <c r="J3" s="74">
        <v>47119</v>
      </c>
    </row>
    <row r="4" spans="2:10" x14ac:dyDescent="0.2">
      <c r="B4" s="17" t="s">
        <v>135</v>
      </c>
      <c r="C4" s="3">
        <f>'Balance Sheet'!C8</f>
        <v>3208021</v>
      </c>
      <c r="D4" s="3">
        <f>'Balance Sheet'!D8</f>
        <v>2780247</v>
      </c>
      <c r="E4" s="3">
        <f>'Balance Sheet'!E8</f>
        <v>3516640</v>
      </c>
      <c r="F4" s="3">
        <f>F19*$F$14</f>
        <v>3915571.5310239503</v>
      </c>
      <c r="G4" s="3">
        <f>G19*$F$14</f>
        <v>3915571.5310239503</v>
      </c>
      <c r="H4" s="3">
        <f>H19*$F$14</f>
        <v>3915571.5310239503</v>
      </c>
      <c r="I4" s="3">
        <f>I19*$F$14</f>
        <v>3915571.5310239503</v>
      </c>
      <c r="J4" s="3">
        <f>J19*$F$14</f>
        <v>3915571.5310239494</v>
      </c>
    </row>
    <row r="5" spans="2:10" x14ac:dyDescent="0.2">
      <c r="B5" s="75" t="s">
        <v>85</v>
      </c>
      <c r="C5" s="76">
        <f>C4</f>
        <v>3208021</v>
      </c>
      <c r="D5" s="76">
        <f t="shared" ref="D5:E5" si="0">D4</f>
        <v>2780247</v>
      </c>
      <c r="E5" s="76">
        <f t="shared" si="0"/>
        <v>3516640</v>
      </c>
      <c r="F5" s="76">
        <f t="shared" ref="F5" si="1">F4</f>
        <v>3915571.5310239503</v>
      </c>
      <c r="G5" s="76">
        <f t="shared" ref="G5" si="2">G4</f>
        <v>3915571.5310239503</v>
      </c>
      <c r="H5" s="76">
        <f t="shared" ref="H5" si="3">H4</f>
        <v>3915571.5310239503</v>
      </c>
      <c r="I5" s="76">
        <f t="shared" ref="I5" si="4">I4</f>
        <v>3915571.5310239503</v>
      </c>
      <c r="J5" s="76">
        <f t="shared" ref="J5" si="5">J4</f>
        <v>3915571.5310239494</v>
      </c>
    </row>
    <row r="6" spans="2:10" x14ac:dyDescent="0.2">
      <c r="B6" s="2"/>
      <c r="C6" s="3"/>
      <c r="D6" s="3"/>
      <c r="E6" s="3"/>
      <c r="F6" s="3"/>
      <c r="G6" s="3"/>
      <c r="H6" s="3"/>
      <c r="I6" s="3"/>
      <c r="J6" s="3"/>
    </row>
    <row r="7" spans="2:10" x14ac:dyDescent="0.2">
      <c r="B7" s="59" t="s">
        <v>136</v>
      </c>
      <c r="C7" s="3">
        <f>'Balance Sheet'!C17</f>
        <v>671513</v>
      </c>
      <c r="D7" s="3">
        <f>'Balance Sheet'!D17</f>
        <v>747412</v>
      </c>
      <c r="E7" s="3">
        <f>'Balance Sheet'!E17</f>
        <v>899909</v>
      </c>
      <c r="F7" s="3">
        <f>F17*-F15/360</f>
        <v>953513.20647586929</v>
      </c>
      <c r="G7" s="3">
        <f>G17*-G15/360</f>
        <v>1047826.4889130231</v>
      </c>
      <c r="H7" s="3">
        <f>H17*-H15/360</f>
        <v>1151468.4258288555</v>
      </c>
      <c r="I7" s="3">
        <f>I17*-I15/360</f>
        <v>1265361.7270701006</v>
      </c>
      <c r="J7" s="3">
        <f>J17*-J15/360</f>
        <v>1390520.3689639056</v>
      </c>
    </row>
    <row r="8" spans="2:10" x14ac:dyDescent="0.2">
      <c r="B8" s="59" t="s">
        <v>137</v>
      </c>
      <c r="C8" s="3">
        <f>'Balance Sheet'!C18</f>
        <v>1514650</v>
      </c>
      <c r="D8" s="3">
        <f>'Balance Sheet'!D18</f>
        <v>1803960</v>
      </c>
      <c r="E8" s="3">
        <f>'Balance Sheet'!E18</f>
        <v>2156544</v>
      </c>
      <c r="F8" s="3">
        <f t="shared" ref="F8:J9" si="6">F21*$F$14</f>
        <v>2474072.1901494996</v>
      </c>
      <c r="G8" s="3">
        <f t="shared" si="6"/>
        <v>2474072.1901494996</v>
      </c>
      <c r="H8" s="3">
        <f t="shared" si="6"/>
        <v>2474072.1901494996</v>
      </c>
      <c r="I8" s="3">
        <f t="shared" si="6"/>
        <v>2474072.1901494996</v>
      </c>
      <c r="J8" s="3">
        <f t="shared" si="6"/>
        <v>2474072.1901494996</v>
      </c>
    </row>
    <row r="9" spans="2:10" x14ac:dyDescent="0.2">
      <c r="B9" s="59" t="s">
        <v>138</v>
      </c>
      <c r="C9" s="3">
        <f>'Balance Sheet'!C19</f>
        <v>1264661</v>
      </c>
      <c r="D9" s="3">
        <f>'Balance Sheet'!D19</f>
        <v>1442969</v>
      </c>
      <c r="E9" s="3">
        <f>'Balance Sheet'!E19</f>
        <v>1520813</v>
      </c>
      <c r="F9" s="3">
        <f t="shared" si="6"/>
        <v>1910717.6225421827</v>
      </c>
      <c r="G9" s="3">
        <f t="shared" si="6"/>
        <v>1910717.6225421827</v>
      </c>
      <c r="H9" s="3">
        <f t="shared" si="6"/>
        <v>1910717.6225421827</v>
      </c>
      <c r="I9" s="3">
        <f t="shared" si="6"/>
        <v>1910717.6225421827</v>
      </c>
      <c r="J9" s="3">
        <f t="shared" si="6"/>
        <v>1910717.6225421827</v>
      </c>
    </row>
    <row r="10" spans="2:10" x14ac:dyDescent="0.2">
      <c r="B10" s="75" t="s">
        <v>86</v>
      </c>
      <c r="C10" s="76">
        <f>SUM(C7:C9)</f>
        <v>3450824</v>
      </c>
      <c r="D10" s="76">
        <f t="shared" ref="D10:E10" si="7">SUM(D7:D9)</f>
        <v>3994341</v>
      </c>
      <c r="E10" s="76">
        <f t="shared" si="7"/>
        <v>4577266</v>
      </c>
      <c r="F10" s="76">
        <f t="shared" ref="F10" si="8">SUM(F7:F9)</f>
        <v>5338303.0191675518</v>
      </c>
      <c r="G10" s="76">
        <f t="shared" ref="G10" si="9">SUM(G7:G9)</f>
        <v>5432616.3016047059</v>
      </c>
      <c r="H10" s="76">
        <f t="shared" ref="H10" si="10">SUM(H7:H9)</f>
        <v>5536258.2385205375</v>
      </c>
      <c r="I10" s="76">
        <f t="shared" ref="I10" si="11">SUM(I7:I9)</f>
        <v>5650151.5397617826</v>
      </c>
      <c r="J10" s="76">
        <f t="shared" ref="J10" si="12">SUM(J7:J9)</f>
        <v>5775310.1816555876</v>
      </c>
    </row>
    <row r="11" spans="2:10" x14ac:dyDescent="0.2">
      <c r="B11" s="1"/>
      <c r="C11" s="3"/>
      <c r="D11" s="3"/>
      <c r="E11" s="3"/>
      <c r="F11" s="3"/>
      <c r="G11" s="3"/>
      <c r="H11" s="3"/>
      <c r="I11" s="3"/>
      <c r="J11" s="3"/>
    </row>
    <row r="12" spans="2:10" x14ac:dyDescent="0.2">
      <c r="B12" s="8" t="s">
        <v>103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6" t="s">
        <v>87</v>
      </c>
      <c r="C13" s="13">
        <v>44926</v>
      </c>
      <c r="D13" s="13">
        <v>45291</v>
      </c>
      <c r="E13" s="13">
        <v>45657</v>
      </c>
      <c r="F13" s="14">
        <v>46022</v>
      </c>
      <c r="G13" s="14">
        <v>46387</v>
      </c>
      <c r="H13" s="14">
        <v>46752</v>
      </c>
      <c r="I13" s="14">
        <v>47118</v>
      </c>
      <c r="J13" s="14">
        <v>47119</v>
      </c>
    </row>
    <row r="14" spans="2:10" x14ac:dyDescent="0.2">
      <c r="B14" s="59" t="s">
        <v>88</v>
      </c>
      <c r="C14" s="79">
        <f>'Free Cash Flow'!C4</f>
        <v>31615550</v>
      </c>
      <c r="D14" s="79">
        <f>'Free Cash Flow'!D4</f>
        <v>33723297</v>
      </c>
      <c r="E14" s="79">
        <f>'Free Cash Flow'!E4</f>
        <v>39000966</v>
      </c>
      <c r="F14" s="79">
        <f>'Free Cash Flow'!F4</f>
        <v>42858604.359592997</v>
      </c>
      <c r="G14" s="79">
        <f>'Free Cash Flow'!G4</f>
        <v>47097806.953092493</v>
      </c>
      <c r="H14" s="79">
        <f>'Free Cash Flow'!H4</f>
        <v>51756314.815563269</v>
      </c>
      <c r="I14" s="79">
        <f>'Free Cash Flow'!I4</f>
        <v>56875601.99895478</v>
      </c>
      <c r="J14" s="79">
        <f>'Free Cash Flow'!J4</f>
        <v>62501244.809856236</v>
      </c>
    </row>
    <row r="15" spans="2:10" x14ac:dyDescent="0.2">
      <c r="B15" s="59" t="s">
        <v>89</v>
      </c>
      <c r="C15" s="79">
        <f>'Free Cash Flow'!C5</f>
        <v>-19168285</v>
      </c>
      <c r="D15" s="79">
        <f>'Free Cash Flow'!D5</f>
        <v>-19715368</v>
      </c>
      <c r="E15" s="79">
        <f>'Free Cash Flow'!E5</f>
        <v>-21038464</v>
      </c>
      <c r="F15" s="79">
        <f>'Free Cash Flow'!F5</f>
        <v>-24720114.192290656</v>
      </c>
      <c r="G15" s="79">
        <f>'Free Cash Flow'!G5</f>
        <v>-27165214.161396544</v>
      </c>
      <c r="H15" s="79">
        <f>'Free Cash Flow'!H5</f>
        <v>-29852162.279439624</v>
      </c>
      <c r="I15" s="79">
        <f>'Free Cash Flow'!I5</f>
        <v>-32804880.074326076</v>
      </c>
      <c r="J15" s="79">
        <f>'Free Cash Flow'!J5</f>
        <v>-36049655.184680216</v>
      </c>
    </row>
    <row r="16" spans="2:10" x14ac:dyDescent="0.2">
      <c r="B16" s="1"/>
      <c r="C16" s="16"/>
      <c r="D16" s="16"/>
      <c r="E16" s="1"/>
      <c r="F16" s="1"/>
      <c r="G16" s="1"/>
      <c r="H16" s="1"/>
      <c r="I16" s="1"/>
      <c r="J16" s="1"/>
    </row>
    <row r="17" spans="2:10" x14ac:dyDescent="0.2">
      <c r="B17" s="59" t="s">
        <v>130</v>
      </c>
      <c r="C17" s="78">
        <f>-C7/C15*360</f>
        <v>12.611701046807266</v>
      </c>
      <c r="D17" s="78">
        <f>-D7/D15*360</f>
        <v>13.647643807612418</v>
      </c>
      <c r="E17" s="78">
        <f>-E7/E15*360</f>
        <v>15.398806680944007</v>
      </c>
      <c r="F17" s="78">
        <f>AVERAGE($C$17:E17)</f>
        <v>13.886050511787898</v>
      </c>
      <c r="G17" s="78">
        <f>AVERAGE($C$17:F17)</f>
        <v>13.886050511787898</v>
      </c>
      <c r="H17" s="78">
        <f>AVERAGE($C$17:G17)</f>
        <v>13.886050511787897</v>
      </c>
      <c r="I17" s="78">
        <f>AVERAGE($C$17:H17)</f>
        <v>13.886050511787898</v>
      </c>
      <c r="J17" s="78">
        <f>AVERAGE($C$17:I17)</f>
        <v>13.886050511787898</v>
      </c>
    </row>
    <row r="19" spans="2:10" x14ac:dyDescent="0.2">
      <c r="B19" s="17" t="s">
        <v>131</v>
      </c>
      <c r="C19" s="77">
        <f>C4/C14</f>
        <v>0.10146971980560199</v>
      </c>
      <c r="D19" s="77">
        <f>D4/D14</f>
        <v>8.2442917725393222E-2</v>
      </c>
      <c r="E19" s="77">
        <f>E4/E14</f>
        <v>9.0168023017686283E-2</v>
      </c>
      <c r="F19" s="77">
        <f>AVERAGE($C$19:E19)</f>
        <v>9.1360220182893845E-2</v>
      </c>
      <c r="G19" s="77">
        <f>AVERAGE($C$19:F19)</f>
        <v>9.1360220182893845E-2</v>
      </c>
      <c r="H19" s="77">
        <f>AVERAGE($C$19:G19)</f>
        <v>9.1360220182893845E-2</v>
      </c>
      <c r="I19" s="77">
        <f>AVERAGE($C$19:H19)</f>
        <v>9.1360220182893845E-2</v>
      </c>
      <c r="J19" s="77">
        <f>AVERAGE($C$19:I19)</f>
        <v>9.1360220182893831E-2</v>
      </c>
    </row>
    <row r="20" spans="2:10" x14ac:dyDescent="0.2">
      <c r="B20" s="17" t="s">
        <v>132</v>
      </c>
      <c r="C20" s="77">
        <f t="shared" ref="C20:E22" si="13">C7/$C$14</f>
        <v>2.1239959450333776E-2</v>
      </c>
      <c r="D20" s="77">
        <f t="shared" si="13"/>
        <v>2.3640645188839036E-2</v>
      </c>
      <c r="E20" s="77">
        <f t="shared" si="13"/>
        <v>2.8464126039243347E-2</v>
      </c>
      <c r="F20" s="77">
        <f>AVERAGE($C$20:E20)</f>
        <v>2.4448243559472057E-2</v>
      </c>
      <c r="G20" s="77">
        <f>AVERAGE($C$20:F20)</f>
        <v>2.4448243559472057E-2</v>
      </c>
      <c r="H20" s="77">
        <f>AVERAGE($C$20:G20)</f>
        <v>2.4448243559472057E-2</v>
      </c>
      <c r="I20" s="77">
        <f>AVERAGE($C$20:H20)</f>
        <v>2.4448243559472057E-2</v>
      </c>
      <c r="J20" s="77">
        <f>AVERAGE($C$20:I20)</f>
        <v>2.4448243559472057E-2</v>
      </c>
    </row>
    <row r="21" spans="2:10" x14ac:dyDescent="0.2">
      <c r="B21" s="17" t="s">
        <v>133</v>
      </c>
      <c r="C21" s="77">
        <f t="shared" si="13"/>
        <v>4.7908386853937383E-2</v>
      </c>
      <c r="D21" s="77">
        <f t="shared" si="13"/>
        <v>5.7059263558596959E-2</v>
      </c>
      <c r="E21" s="77">
        <f t="shared" si="13"/>
        <v>6.821149719046482E-2</v>
      </c>
      <c r="F21" s="77">
        <f>AVERAGE($C$21:E21)</f>
        <v>5.772638253433305E-2</v>
      </c>
      <c r="G21" s="77">
        <f>AVERAGE($C$21:F21)</f>
        <v>5.772638253433305E-2</v>
      </c>
      <c r="H21" s="77">
        <f>AVERAGE($C$21:G21)</f>
        <v>5.7726382534333057E-2</v>
      </c>
      <c r="I21" s="77">
        <f>AVERAGE($C$21:H21)</f>
        <v>5.772638253433305E-2</v>
      </c>
      <c r="J21" s="77">
        <f>AVERAGE($C$21:I21)</f>
        <v>5.772638253433305E-2</v>
      </c>
    </row>
    <row r="22" spans="2:10" x14ac:dyDescent="0.2">
      <c r="B22" s="17" t="s">
        <v>134</v>
      </c>
      <c r="C22" s="77">
        <f t="shared" si="13"/>
        <v>4.0001233570189351E-2</v>
      </c>
      <c r="D22" s="77">
        <f t="shared" si="13"/>
        <v>4.5641116475911382E-2</v>
      </c>
      <c r="E22" s="77">
        <f t="shared" si="13"/>
        <v>4.8103322573860012E-2</v>
      </c>
      <c r="F22" s="77">
        <f>AVERAGE($C$22:E22)</f>
        <v>4.4581890873320255E-2</v>
      </c>
      <c r="G22" s="77">
        <f>AVERAGE($C$22:F22)</f>
        <v>4.4581890873320255E-2</v>
      </c>
      <c r="H22" s="77">
        <f>AVERAGE($C$22:G22)</f>
        <v>4.4581890873320255E-2</v>
      </c>
      <c r="I22" s="77">
        <f>AVERAGE($C$22:H22)</f>
        <v>4.4581890873320255E-2</v>
      </c>
      <c r="J22" s="77">
        <f>AVERAGE($C$22:I22)</f>
        <v>4.4581890873320255E-2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8D22-02E9-4B12-B276-3AD46DF97EB1}">
  <dimension ref="B2:J32"/>
  <sheetViews>
    <sheetView showGridLines="0" workbookViewId="0">
      <selection activeCell="D21" sqref="D21"/>
    </sheetView>
  </sheetViews>
  <sheetFormatPr defaultRowHeight="12" x14ac:dyDescent="0.2"/>
  <cols>
    <col min="1" max="1" width="9.140625" style="1"/>
    <col min="2" max="2" width="35.42578125" style="1" bestFit="1" customWidth="1"/>
    <col min="3" max="8" width="11" style="1" bestFit="1" customWidth="1"/>
    <col min="9" max="10" width="12" style="1" bestFit="1" customWidth="1"/>
    <col min="11" max="16384" width="9.140625" style="1"/>
  </cols>
  <sheetData>
    <row r="2" spans="2:10" x14ac:dyDescent="0.2">
      <c r="B2" s="8" t="s">
        <v>104</v>
      </c>
      <c r="C2" s="8"/>
      <c r="D2" s="9"/>
      <c r="E2" s="9"/>
      <c r="F2" s="9"/>
      <c r="G2" s="9"/>
      <c r="H2" s="9"/>
      <c r="I2" s="9"/>
      <c r="J2" s="9"/>
    </row>
    <row r="3" spans="2:10" x14ac:dyDescent="0.2">
      <c r="B3" s="6" t="s">
        <v>87</v>
      </c>
      <c r="C3" s="13">
        <v>44926</v>
      </c>
      <c r="D3" s="13">
        <v>45291</v>
      </c>
      <c r="E3" s="13">
        <v>45657</v>
      </c>
      <c r="F3" s="14">
        <v>46022</v>
      </c>
      <c r="G3" s="14">
        <v>46387</v>
      </c>
      <c r="H3" s="14">
        <v>46752</v>
      </c>
      <c r="I3" s="14">
        <v>47118</v>
      </c>
      <c r="J3" s="14">
        <v>47119</v>
      </c>
    </row>
    <row r="4" spans="2:10" x14ac:dyDescent="0.2">
      <c r="B4" s="1" t="s">
        <v>88</v>
      </c>
      <c r="C4" s="3">
        <f>'Statement Of Operations'!C4</f>
        <v>31615550</v>
      </c>
      <c r="D4" s="3">
        <f>'Statement Of Operations'!D4</f>
        <v>33723297</v>
      </c>
      <c r="E4" s="3">
        <f>'Statement Of Operations'!E4</f>
        <v>39000966</v>
      </c>
      <c r="F4" s="3">
        <f>E4*(1+F27)</f>
        <v>42858604.359592997</v>
      </c>
      <c r="G4" s="3">
        <f t="shared" ref="G4:J4" si="0">F4*(1+G27)</f>
        <v>47097806.953092493</v>
      </c>
      <c r="H4" s="3">
        <f t="shared" si="0"/>
        <v>51756314.815563269</v>
      </c>
      <c r="I4" s="3">
        <f t="shared" si="0"/>
        <v>56875601.99895478</v>
      </c>
      <c r="J4" s="3">
        <f t="shared" si="0"/>
        <v>62501244.809856236</v>
      </c>
    </row>
    <row r="5" spans="2:10" ht="12.75" thickBot="1" x14ac:dyDescent="0.25">
      <c r="B5" s="7" t="s">
        <v>89</v>
      </c>
      <c r="C5" s="4">
        <f>-'Statement Of Operations'!C5</f>
        <v>-19168285</v>
      </c>
      <c r="D5" s="4">
        <f>-'Statement Of Operations'!D5</f>
        <v>-19715368</v>
      </c>
      <c r="E5" s="4">
        <f>-'Statement Of Operations'!E5</f>
        <v>-21038464</v>
      </c>
      <c r="F5" s="4">
        <f>-F4*F30</f>
        <v>-24720114.192290656</v>
      </c>
      <c r="G5" s="4">
        <f t="shared" ref="G5:J5" si="1">-G4*G30</f>
        <v>-27165214.161396544</v>
      </c>
      <c r="H5" s="4">
        <f t="shared" si="1"/>
        <v>-29852162.279439624</v>
      </c>
      <c r="I5" s="4">
        <f t="shared" si="1"/>
        <v>-32804880.074326076</v>
      </c>
      <c r="J5" s="4">
        <f t="shared" si="1"/>
        <v>-36049655.184680216</v>
      </c>
    </row>
    <row r="6" spans="2:10" ht="12.75" thickTop="1" x14ac:dyDescent="0.2">
      <c r="B6" s="2" t="s">
        <v>90</v>
      </c>
      <c r="C6" s="61">
        <f>SUM(C4:C5)</f>
        <v>12447265</v>
      </c>
      <c r="D6" s="61">
        <f t="shared" ref="D6:E6" si="2">SUM(D4:D5)</f>
        <v>14007929</v>
      </c>
      <c r="E6" s="61">
        <f t="shared" si="2"/>
        <v>17962502</v>
      </c>
      <c r="F6" s="61">
        <f t="shared" ref="F6" si="3">SUM(F4:F5)</f>
        <v>18138490.16730234</v>
      </c>
      <c r="G6" s="61">
        <f t="shared" ref="G6" si="4">SUM(G4:G5)</f>
        <v>19932592.791695949</v>
      </c>
      <c r="H6" s="61">
        <f t="shared" ref="H6" si="5">SUM(H4:H5)</f>
        <v>21904152.536123645</v>
      </c>
      <c r="I6" s="61">
        <f t="shared" ref="I6" si="6">SUM(I4:I5)</f>
        <v>24070721.924628705</v>
      </c>
      <c r="J6" s="61">
        <f t="shared" ref="J6" si="7">SUM(J4:J5)</f>
        <v>26451589.62517602</v>
      </c>
    </row>
    <row r="7" spans="2:10" x14ac:dyDescent="0.2">
      <c r="B7" s="59" t="s">
        <v>139</v>
      </c>
      <c r="C7" s="3"/>
      <c r="D7" s="3"/>
      <c r="E7" s="3"/>
      <c r="F7" s="3"/>
      <c r="G7" s="3"/>
      <c r="H7" s="3"/>
      <c r="I7" s="3"/>
      <c r="J7" s="3"/>
    </row>
    <row r="8" spans="2:10" x14ac:dyDescent="0.2">
      <c r="B8" s="1" t="s">
        <v>101</v>
      </c>
      <c r="C8" s="3">
        <f>-SUM('Statement Of Operations'!C6:C8)</f>
        <v>-6814434</v>
      </c>
      <c r="D8" s="3">
        <f>-SUM('Statement Of Operations'!D6:D8)</f>
        <v>-7053926</v>
      </c>
      <c r="E8" s="3">
        <f>-SUM('Statement Of Operations'!E6:E8)</f>
        <v>-7544888</v>
      </c>
      <c r="F8" s="3">
        <f>-F31*F4</f>
        <v>-8831232.094962297</v>
      </c>
      <c r="G8" s="3">
        <f t="shared" ref="G8:J8" si="8">-G31*G4</f>
        <v>-9704741.2201464102</v>
      </c>
      <c r="H8" s="3">
        <f t="shared" si="8"/>
        <v>-10664650.315750867</v>
      </c>
      <c r="I8" s="3">
        <f t="shared" si="8"/>
        <v>-11719505.319847075</v>
      </c>
      <c r="J8" s="3">
        <f t="shared" si="8"/>
        <v>-12878697.460813435</v>
      </c>
    </row>
    <row r="9" spans="2:10" ht="12.75" thickBot="1" x14ac:dyDescent="0.25">
      <c r="B9" s="7" t="s">
        <v>91</v>
      </c>
      <c r="C9" s="4">
        <f>SUM(C7:C8)</f>
        <v>-6814434</v>
      </c>
      <c r="D9" s="4">
        <f t="shared" ref="D9:E9" si="9">SUM(D7:D8)</f>
        <v>-7053926</v>
      </c>
      <c r="E9" s="4">
        <f t="shared" si="9"/>
        <v>-7544888</v>
      </c>
      <c r="F9" s="4">
        <f t="shared" ref="F9" si="10">SUM(F7:F8)</f>
        <v>-8831232.094962297</v>
      </c>
      <c r="G9" s="4">
        <f t="shared" ref="G9" si="11">SUM(G7:G8)</f>
        <v>-9704741.2201464102</v>
      </c>
      <c r="H9" s="4">
        <f t="shared" ref="H9" si="12">SUM(H7:H8)</f>
        <v>-10664650.315750867</v>
      </c>
      <c r="I9" s="4">
        <f t="shared" ref="I9" si="13">SUM(I7:I8)</f>
        <v>-11719505.319847075</v>
      </c>
      <c r="J9" s="4">
        <f t="shared" ref="J9" si="14">SUM(J7:J8)</f>
        <v>-12878697.460813435</v>
      </c>
    </row>
    <row r="10" spans="2:10" ht="12.75" thickTop="1" x14ac:dyDescent="0.2">
      <c r="B10" s="2" t="s">
        <v>92</v>
      </c>
      <c r="C10" s="61">
        <f>C6+C9</f>
        <v>5632831</v>
      </c>
      <c r="D10" s="61">
        <f t="shared" ref="D10:E10" si="15">D6+D9</f>
        <v>6954003</v>
      </c>
      <c r="E10" s="61">
        <f t="shared" si="15"/>
        <v>10417614</v>
      </c>
      <c r="F10" s="61">
        <f t="shared" ref="F10" si="16">F6+F9</f>
        <v>9307258.0723400433</v>
      </c>
      <c r="G10" s="61">
        <f t="shared" ref="G10" si="17">G6+G9</f>
        <v>10227851.571549539</v>
      </c>
      <c r="H10" s="61">
        <f t="shared" ref="H10" si="18">H6+H9</f>
        <v>11239502.220372777</v>
      </c>
      <c r="I10" s="61">
        <f t="shared" ref="I10" si="19">I6+I9</f>
        <v>12351216.60478163</v>
      </c>
      <c r="J10" s="61">
        <f t="shared" ref="J10" si="20">J6+J9</f>
        <v>13572892.164362585</v>
      </c>
    </row>
    <row r="11" spans="2:10" ht="12.75" thickBot="1" x14ac:dyDescent="0.25">
      <c r="B11" s="7" t="s">
        <v>84</v>
      </c>
      <c r="C11" s="4">
        <f>'Cash Flows'!C11</f>
        <v>336682</v>
      </c>
      <c r="D11" s="4">
        <f>'Cash Flows'!D11</f>
        <v>356947</v>
      </c>
      <c r="E11" s="4">
        <f>'Cash Flows'!E11</f>
        <v>328914</v>
      </c>
      <c r="F11" s="4">
        <f>'Fixed Assets'!F5</f>
        <v>387543.23466915585</v>
      </c>
      <c r="G11" s="4">
        <f>'Fixed Assets'!G5</f>
        <v>403264.52033047145</v>
      </c>
      <c r="H11" s="4">
        <f>'Fixed Assets'!H5</f>
        <v>419623.56405523437</v>
      </c>
      <c r="I11" s="4">
        <f>'Fixed Assets'!I5</f>
        <v>436646.23747737153</v>
      </c>
      <c r="J11" s="4">
        <f>'Fixed Assets'!J5</f>
        <v>454359.46175331774</v>
      </c>
    </row>
    <row r="12" spans="2:10" ht="12.75" thickTop="1" x14ac:dyDescent="0.2">
      <c r="B12" s="2" t="s">
        <v>93</v>
      </c>
      <c r="C12" s="61">
        <f>C10-C11</f>
        <v>5296149</v>
      </c>
      <c r="D12" s="61">
        <f t="shared" ref="D12:J12" si="21">D10-D11</f>
        <v>6597056</v>
      </c>
      <c r="E12" s="61">
        <f t="shared" si="21"/>
        <v>10088700</v>
      </c>
      <c r="F12" s="61">
        <f t="shared" si="21"/>
        <v>8919714.8376708869</v>
      </c>
      <c r="G12" s="61">
        <f t="shared" si="21"/>
        <v>9824587.0512190666</v>
      </c>
      <c r="H12" s="61">
        <f t="shared" si="21"/>
        <v>10819878.656317543</v>
      </c>
      <c r="I12" s="61">
        <f t="shared" si="21"/>
        <v>11914570.367304258</v>
      </c>
      <c r="J12" s="61">
        <f t="shared" si="21"/>
        <v>13118532.702609267</v>
      </c>
    </row>
    <row r="13" spans="2:10" ht="12.75" thickBot="1" x14ac:dyDescent="0.25">
      <c r="B13" s="7" t="s">
        <v>94</v>
      </c>
      <c r="C13" s="4">
        <f>C12*C23</f>
        <v>776730.36789534963</v>
      </c>
      <c r="D13" s="4">
        <f t="shared" ref="D13:E13" si="22">D12*D23</f>
        <v>847743.44466477213</v>
      </c>
      <c r="E13" s="4">
        <f t="shared" si="22"/>
        <v>1269509.0856729266</v>
      </c>
      <c r="F13" s="4">
        <f t="shared" ref="F13" si="23">F12*F23</f>
        <v>1192261.1583245115</v>
      </c>
      <c r="G13" s="4">
        <f t="shared" ref="G13" si="24">G12*G23</f>
        <v>1313211.6610137124</v>
      </c>
      <c r="H13" s="4">
        <f t="shared" ref="H13" si="25">H12*H23</f>
        <v>1446248.1474441721</v>
      </c>
      <c r="I13" s="4">
        <f t="shared" ref="I13" si="26">I12*I23</f>
        <v>1592571.0323235348</v>
      </c>
      <c r="J13" s="4">
        <f t="shared" ref="J13" si="27">J12*J23</f>
        <v>1753499.6667690566</v>
      </c>
    </row>
    <row r="14" spans="2:10" ht="12.75" thickTop="1" x14ac:dyDescent="0.2">
      <c r="B14" s="2" t="s">
        <v>95</v>
      </c>
      <c r="C14" s="61">
        <f>C12-C13</f>
        <v>4519418.6321046501</v>
      </c>
      <c r="D14" s="61">
        <f t="shared" ref="D14:E14" si="28">D12-D13</f>
        <v>5749312.5553352274</v>
      </c>
      <c r="E14" s="61">
        <f t="shared" si="28"/>
        <v>8819190.9143270738</v>
      </c>
      <c r="F14" s="61">
        <f t="shared" ref="F14" si="29">F12-F13</f>
        <v>7727453.6793463752</v>
      </c>
      <c r="G14" s="61">
        <f t="shared" ref="G14" si="30">G12-G13</f>
        <v>8511375.3902053535</v>
      </c>
      <c r="H14" s="61">
        <f t="shared" ref="H14" si="31">H12-H13</f>
        <v>9373630.5088733714</v>
      </c>
      <c r="I14" s="61">
        <f t="shared" ref="I14" si="32">I12-I13</f>
        <v>10321999.334980723</v>
      </c>
      <c r="J14" s="61">
        <f t="shared" ref="J14" si="33">J12-J13</f>
        <v>11365033.03584021</v>
      </c>
    </row>
    <row r="15" spans="2:10" x14ac:dyDescent="0.2">
      <c r="B15" s="1" t="s">
        <v>96</v>
      </c>
      <c r="C15" s="3">
        <f>C11</f>
        <v>336682</v>
      </c>
      <c r="D15" s="3">
        <f t="shared" ref="D15:J15" si="34">D11</f>
        <v>356947</v>
      </c>
      <c r="E15" s="3">
        <f t="shared" si="34"/>
        <v>328914</v>
      </c>
      <c r="F15" s="3">
        <f t="shared" si="34"/>
        <v>387543.23466915585</v>
      </c>
      <c r="G15" s="3">
        <f t="shared" si="34"/>
        <v>403264.52033047145</v>
      </c>
      <c r="H15" s="3">
        <f t="shared" si="34"/>
        <v>419623.56405523437</v>
      </c>
      <c r="I15" s="3">
        <f t="shared" si="34"/>
        <v>436646.23747737153</v>
      </c>
      <c r="J15" s="3">
        <f t="shared" si="34"/>
        <v>454359.46175331774</v>
      </c>
    </row>
    <row r="16" spans="2:10" x14ac:dyDescent="0.2">
      <c r="B16" s="1" t="s">
        <v>97</v>
      </c>
      <c r="C16" s="3">
        <f>'Fixed Assets'!C6</f>
        <v>-407729</v>
      </c>
      <c r="D16" s="3">
        <f>'Fixed Assets'!D6</f>
        <v>-348552</v>
      </c>
      <c r="E16" s="3">
        <f>'Fixed Assets'!E6</f>
        <v>-439538</v>
      </c>
      <c r="F16" s="3">
        <f>'Fixed Assets'!F6</f>
        <v>-452196.39103718242</v>
      </c>
      <c r="G16" s="3">
        <f>'Fixed Assets'!G6</f>
        <v>-470540.4311404255</v>
      </c>
      <c r="H16" s="3">
        <f>'Fixed Assets'!H6</f>
        <v>-489628.62536338094</v>
      </c>
      <c r="I16" s="3">
        <f>'Fixed Assets'!I6</f>
        <v>-509491.16145917011</v>
      </c>
      <c r="J16" s="3">
        <f>'Fixed Assets'!J6</f>
        <v>-530159.45179341652</v>
      </c>
    </row>
    <row r="17" spans="2:10" x14ac:dyDescent="0.2">
      <c r="B17" s="1" t="s">
        <v>98</v>
      </c>
      <c r="C17" s="70"/>
      <c r="D17" s="3">
        <f>D18-C18</f>
        <v>-1192827</v>
      </c>
      <c r="E17" s="3">
        <f>E18-D18</f>
        <v>-1153297</v>
      </c>
      <c r="F17" s="3">
        <f t="shared" ref="F17:J17" si="35">F18-E18</f>
        <v>-98465.488143601455</v>
      </c>
      <c r="G17" s="3">
        <f t="shared" si="35"/>
        <v>-94313.282437154092</v>
      </c>
      <c r="H17" s="3">
        <f t="shared" si="35"/>
        <v>-103641.93691583164</v>
      </c>
      <c r="I17" s="3">
        <f t="shared" si="35"/>
        <v>-113893.30124124512</v>
      </c>
      <c r="J17" s="3">
        <f t="shared" si="35"/>
        <v>-125158.64189380594</v>
      </c>
    </row>
    <row r="18" spans="2:10" x14ac:dyDescent="0.2">
      <c r="B18" s="1" t="s">
        <v>99</v>
      </c>
      <c r="C18" s="3">
        <f>C19-C20</f>
        <v>1021858</v>
      </c>
      <c r="D18" s="3">
        <f t="shared" ref="D18:J18" si="36">D19-D20</f>
        <v>-170969</v>
      </c>
      <c r="E18" s="3">
        <f t="shared" si="36"/>
        <v>-1324266</v>
      </c>
      <c r="F18" s="3">
        <f t="shared" si="36"/>
        <v>-1422731.4881436015</v>
      </c>
      <c r="G18" s="3">
        <f t="shared" si="36"/>
        <v>-1517044.7705807555</v>
      </c>
      <c r="H18" s="3">
        <f t="shared" si="36"/>
        <v>-1620686.7074965872</v>
      </c>
      <c r="I18" s="3">
        <f t="shared" si="36"/>
        <v>-1734580.0087378323</v>
      </c>
      <c r="J18" s="3">
        <f t="shared" si="36"/>
        <v>-1859738.6506316382</v>
      </c>
    </row>
    <row r="19" spans="2:10" x14ac:dyDescent="0.2">
      <c r="B19" s="1" t="s">
        <v>85</v>
      </c>
      <c r="C19" s="3">
        <f>'Balance Sheet'!C9-'Balance Sheet'!C6-'Balance Sheet'!C7</f>
        <v>3208021</v>
      </c>
      <c r="D19" s="3">
        <f>'Balance Sheet'!D9-'Balance Sheet'!D6-'Balance Sheet'!D7</f>
        <v>2780247</v>
      </c>
      <c r="E19" s="3">
        <f>'Balance Sheet'!E9-'Balance Sheet'!E6-'Balance Sheet'!E7</f>
        <v>3516640</v>
      </c>
      <c r="F19" s="3">
        <f>'Net Working Capital'!F5</f>
        <v>3915571.5310239503</v>
      </c>
      <c r="G19" s="3">
        <f>'Net Working Capital'!G5</f>
        <v>3915571.5310239503</v>
      </c>
      <c r="H19" s="3">
        <f>'Net Working Capital'!H5</f>
        <v>3915571.5310239503</v>
      </c>
      <c r="I19" s="3">
        <f>'Net Working Capital'!I5</f>
        <v>3915571.5310239503</v>
      </c>
      <c r="J19" s="3">
        <f>'Net Working Capital'!J5</f>
        <v>3915571.5310239494</v>
      </c>
    </row>
    <row r="20" spans="2:10" x14ac:dyDescent="0.2">
      <c r="B20" s="1" t="s">
        <v>86</v>
      </c>
      <c r="C20" s="3">
        <f>'Balance Sheet'!C21-'Balance Sheet'!C19-'Balance Sheet'!C16</f>
        <v>2186163</v>
      </c>
      <c r="D20" s="3">
        <f>'Balance Sheet'!D21-'Balance Sheet'!D19-'Balance Sheet'!D16</f>
        <v>2951216</v>
      </c>
      <c r="E20" s="3">
        <f>'Balance Sheet'!E21-'Balance Sheet'!E19-'Balance Sheet'!E16</f>
        <v>4840906</v>
      </c>
      <c r="F20" s="3">
        <f>'Net Working Capital'!F10</f>
        <v>5338303.0191675518</v>
      </c>
      <c r="G20" s="3">
        <f>'Net Working Capital'!G10</f>
        <v>5432616.3016047059</v>
      </c>
      <c r="H20" s="3">
        <f>'Net Working Capital'!H10</f>
        <v>5536258.2385205375</v>
      </c>
      <c r="I20" s="3">
        <f>'Net Working Capital'!I10</f>
        <v>5650151.5397617826</v>
      </c>
      <c r="J20" s="3">
        <f>'Net Working Capital'!J10</f>
        <v>5775310.1816555876</v>
      </c>
    </row>
    <row r="21" spans="2:10" x14ac:dyDescent="0.2">
      <c r="B21" s="10" t="s">
        <v>100</v>
      </c>
      <c r="C21" s="80"/>
      <c r="D21" s="80">
        <f t="shared" ref="D21:J21" si="37">D14+D15+D16-D17</f>
        <v>6950534.5553352274</v>
      </c>
      <c r="E21" s="80">
        <f t="shared" si="37"/>
        <v>9861863.9143270738</v>
      </c>
      <c r="F21" s="80">
        <f t="shared" si="37"/>
        <v>7761266.0111219501</v>
      </c>
      <c r="G21" s="80">
        <f t="shared" si="37"/>
        <v>8538412.7618325539</v>
      </c>
      <c r="H21" s="80">
        <f t="shared" si="37"/>
        <v>9407267.3844810557</v>
      </c>
      <c r="I21" s="80">
        <f t="shared" si="37"/>
        <v>10363047.712240169</v>
      </c>
      <c r="J21" s="80">
        <f t="shared" si="37"/>
        <v>11414391.687693916</v>
      </c>
    </row>
    <row r="23" spans="2:10" x14ac:dyDescent="0.2">
      <c r="B23" s="11" t="s">
        <v>102</v>
      </c>
      <c r="C23" s="12">
        <f>-'Statement Of Operations'!C14/'Statement Of Operations'!C13</f>
        <v>0.14665946292208729</v>
      </c>
      <c r="D23" s="12">
        <f>-'Statement Of Operations'!D14/'Statement Of Operations'!D13</f>
        <v>0.12850329672277636</v>
      </c>
      <c r="E23" s="12">
        <f>-'Statement Of Operations'!E14/'Statement Of Operations'!E13</f>
        <v>0.12583475429668109</v>
      </c>
      <c r="F23" s="12">
        <f>AVERAGE($C$23:E23)</f>
        <v>0.1336658379805149</v>
      </c>
      <c r="G23" s="12">
        <f>AVERAGE($C$23:F23)</f>
        <v>0.1336658379805149</v>
      </c>
      <c r="H23" s="12">
        <f>AVERAGE($C$23:G23)</f>
        <v>0.1336658379805149</v>
      </c>
      <c r="I23" s="12">
        <f>AVERAGE($C$23:H23)</f>
        <v>0.1336658379805149</v>
      </c>
      <c r="J23" s="12">
        <f>AVERAGE($C$23:I23)</f>
        <v>0.1336658379805149</v>
      </c>
    </row>
    <row r="25" spans="2:10" x14ac:dyDescent="0.2">
      <c r="B25" s="8" t="s">
        <v>103</v>
      </c>
      <c r="C25" s="9"/>
      <c r="D25" s="9"/>
      <c r="E25" s="9"/>
      <c r="F25" s="9"/>
      <c r="G25" s="9"/>
      <c r="H25" s="9"/>
      <c r="I25" s="9"/>
      <c r="J25" s="9"/>
    </row>
    <row r="26" spans="2:10" x14ac:dyDescent="0.2">
      <c r="B26" s="6" t="s">
        <v>87</v>
      </c>
      <c r="C26" s="13">
        <v>44926</v>
      </c>
      <c r="D26" s="13">
        <v>45291</v>
      </c>
      <c r="E26" s="13">
        <v>45657</v>
      </c>
      <c r="F26" s="14">
        <v>46022</v>
      </c>
      <c r="G26" s="14">
        <v>46387</v>
      </c>
      <c r="H26" s="14">
        <v>46752</v>
      </c>
      <c r="I26" s="14">
        <v>47118</v>
      </c>
      <c r="J26" s="14">
        <v>47119</v>
      </c>
    </row>
    <row r="27" spans="2:10" x14ac:dyDescent="0.2">
      <c r="B27" s="1" t="s">
        <v>105</v>
      </c>
      <c r="C27" s="15"/>
      <c r="D27" s="15">
        <f>(D4-C4)/D4</f>
        <v>6.2501213923419174E-2</v>
      </c>
      <c r="E27" s="15">
        <f>(E4-D4)/E4</f>
        <v>0.1353214943445247</v>
      </c>
      <c r="F27" s="5">
        <f>AVERAGE($D$27:E27)</f>
        <v>9.8911354133971938E-2</v>
      </c>
      <c r="G27" s="5">
        <f>AVERAGE($D$27:F27)</f>
        <v>9.8911354133971938E-2</v>
      </c>
      <c r="H27" s="5">
        <f>AVERAGE($D$27:G27)</f>
        <v>9.8911354133971938E-2</v>
      </c>
      <c r="I27" s="5">
        <f>AVERAGE($D$27:H27)</f>
        <v>9.8911354133971938E-2</v>
      </c>
      <c r="J27" s="5">
        <f>AVERAGE($D$27:I27)</f>
        <v>9.8911354133971938E-2</v>
      </c>
    </row>
    <row r="28" spans="2:10" x14ac:dyDescent="0.2">
      <c r="C28" s="16"/>
      <c r="D28" s="16"/>
    </row>
    <row r="29" spans="2:10" x14ac:dyDescent="0.2">
      <c r="C29" s="16"/>
      <c r="D29" s="16"/>
    </row>
    <row r="30" spans="2:10" x14ac:dyDescent="0.2">
      <c r="B30" s="1" t="s">
        <v>106</v>
      </c>
      <c r="C30" s="15">
        <f>-C5/C4</f>
        <v>0.60629294761596741</v>
      </c>
      <c r="D30" s="15">
        <f>-D5/D4</f>
        <v>0.58462160446530476</v>
      </c>
      <c r="E30" s="15">
        <f>-E5/E4</f>
        <v>0.53943443349582676</v>
      </c>
      <c r="F30" s="5">
        <f>AVERAGE($C$30:E30)</f>
        <v>0.57678299519236631</v>
      </c>
      <c r="G30" s="5">
        <f>AVERAGE($C$30:F30)</f>
        <v>0.57678299519236631</v>
      </c>
      <c r="H30" s="5">
        <f>AVERAGE($C$30:G30)</f>
        <v>0.57678299519236631</v>
      </c>
      <c r="I30" s="5">
        <f>AVERAGE($C$30:H30)</f>
        <v>0.57678299519236631</v>
      </c>
      <c r="J30" s="5">
        <f>AVERAGE($C$30:I30)</f>
        <v>0.57678299519236631</v>
      </c>
    </row>
    <row r="31" spans="2:10" x14ac:dyDescent="0.2">
      <c r="B31" s="1" t="s">
        <v>107</v>
      </c>
      <c r="C31" s="15">
        <f>-C8/C4</f>
        <v>0.21554058050547911</v>
      </c>
      <c r="D31" s="15">
        <f>-D8/D4</f>
        <v>0.20917071068110571</v>
      </c>
      <c r="E31" s="15">
        <f>-E8/E4</f>
        <v>0.19345387496299452</v>
      </c>
      <c r="F31" s="5">
        <f>AVERAGE($C$31:E31)</f>
        <v>0.2060550553831931</v>
      </c>
      <c r="G31" s="5">
        <f>AVERAGE($C$31:F31)</f>
        <v>0.2060550553831931</v>
      </c>
      <c r="H31" s="5">
        <f>AVERAGE($C$31:G31)</f>
        <v>0.2060550553831931</v>
      </c>
      <c r="I31" s="5">
        <f>AVERAGE($C$31:H31)</f>
        <v>0.2060550553831931</v>
      </c>
      <c r="J31" s="5">
        <f>AVERAGE($C$31:I31)</f>
        <v>0.20605505538319308</v>
      </c>
    </row>
    <row r="32" spans="2:10" x14ac:dyDescent="0.2">
      <c r="B32" s="1" t="s">
        <v>108</v>
      </c>
      <c r="C32" s="15">
        <f>C13/C12</f>
        <v>0.14665946292208729</v>
      </c>
      <c r="D32" s="15">
        <f>D13/D12</f>
        <v>0.12850329672277636</v>
      </c>
      <c r="E32" s="15">
        <f>E13/E12</f>
        <v>0.12583475429668109</v>
      </c>
      <c r="F32" s="5">
        <f>AVERAGE($C$32:E32)</f>
        <v>0.1336658379805149</v>
      </c>
      <c r="G32" s="5">
        <f>AVERAGE($C$32:F32)</f>
        <v>0.1336658379805149</v>
      </c>
      <c r="H32" s="5">
        <f>AVERAGE($C$32:G32)</f>
        <v>0.1336658379805149</v>
      </c>
      <c r="I32" s="5">
        <f>AVERAGE($C$32:H32)</f>
        <v>0.1336658379805149</v>
      </c>
      <c r="J32" s="5">
        <f>AVERAGE($C$32:I32)</f>
        <v>0.1336658379805149</v>
      </c>
    </row>
  </sheetData>
  <pageMargins left="0.7" right="0.7" top="0.75" bottom="0.75" header="0.3" footer="0.3"/>
  <ignoredErrors>
    <ignoredError sqref="A1:XFD1 A7 A4:E4 K4:XFD4 A5:E5 K5:XFD5 A6:E6 K6:XFD6 A17:E17 A8:E8 K8:XFD8 A9:E9 K9:XFD9 A10:E10 K10:XFD10 A11:E11 K11:XFD11 A12:B12 K12:XFD12 A13:B13 K13:XFD13 A14:E14 K14:XFD14 A15:E15 K15:XFD15 A16:E16 K16:XFD16 A22:XFD1048576 A19:E19 K19:XFD19 A20:B20 K20:XFD20 A18:B18 K18:XFD18 K17:XFD17 A21:E21 K21:XFD21 C7:XFD7 A3:XFD3 A2 C2:XFD2" formulaRange="1"/>
    <ignoredError sqref="C13:E13" formula="1" formulaRange="1"/>
    <ignoredError sqref="F13:J13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D07C-685E-4D2F-9B1D-A4CC42B63DB5}">
  <dimension ref="B2:F18"/>
  <sheetViews>
    <sheetView showGridLines="0" workbookViewId="0">
      <selection activeCell="F7" sqref="F7"/>
    </sheetView>
  </sheetViews>
  <sheetFormatPr defaultRowHeight="12" x14ac:dyDescent="0.2"/>
  <cols>
    <col min="1" max="1" width="9.140625" style="17"/>
    <col min="2" max="2" width="30.28515625" style="17" bestFit="1" customWidth="1"/>
    <col min="3" max="3" width="15" style="17" bestFit="1" customWidth="1"/>
    <col min="4" max="4" width="9.140625" style="17"/>
    <col min="5" max="5" width="21" style="17" bestFit="1" customWidth="1"/>
    <col min="6" max="6" width="15" style="17" bestFit="1" customWidth="1"/>
    <col min="7" max="16384" width="9.140625" style="17"/>
  </cols>
  <sheetData>
    <row r="2" spans="2:6" x14ac:dyDescent="0.2">
      <c r="B2" s="81" t="s">
        <v>142</v>
      </c>
      <c r="C2" s="81"/>
      <c r="E2" s="81" t="s">
        <v>113</v>
      </c>
      <c r="F2" s="81"/>
    </row>
    <row r="3" spans="2:6" x14ac:dyDescent="0.2">
      <c r="B3" s="17" t="s">
        <v>113</v>
      </c>
      <c r="C3" s="62">
        <f>F5</f>
        <v>381268458372</v>
      </c>
      <c r="E3" s="82" t="s">
        <v>171</v>
      </c>
      <c r="F3" s="104">
        <v>427757100</v>
      </c>
    </row>
    <row r="4" spans="2:6" x14ac:dyDescent="0.2">
      <c r="B4" s="17" t="s">
        <v>143</v>
      </c>
      <c r="C4" s="62">
        <f>SUM('Balance Sheet'!E20,'Balance Sheet'!E23)</f>
        <v>15582804</v>
      </c>
      <c r="E4" s="17" t="s">
        <v>156</v>
      </c>
      <c r="F4" s="83">
        <v>891.32</v>
      </c>
    </row>
    <row r="5" spans="2:6" x14ac:dyDescent="0.2">
      <c r="E5" s="82" t="s">
        <v>113</v>
      </c>
      <c r="F5" s="84">
        <f>F3*F4</f>
        <v>381268458372</v>
      </c>
    </row>
    <row r="6" spans="2:6" x14ac:dyDescent="0.2">
      <c r="B6" s="17" t="s">
        <v>144</v>
      </c>
      <c r="C6" s="77">
        <f>-'Statement Of Operations'!E11/WACC!C4</f>
        <v>4.6123470461413747E-2</v>
      </c>
    </row>
    <row r="7" spans="2:6" x14ac:dyDescent="0.2">
      <c r="B7" s="17" t="s">
        <v>145</v>
      </c>
      <c r="C7" s="86">
        <v>0.21</v>
      </c>
    </row>
    <row r="8" spans="2:6" x14ac:dyDescent="0.2">
      <c r="B8" s="17" t="s">
        <v>146</v>
      </c>
      <c r="C8" s="85">
        <f>C4/SUM(C3:C4)</f>
        <v>4.0869279374866378E-5</v>
      </c>
    </row>
    <row r="9" spans="2:6" x14ac:dyDescent="0.2">
      <c r="B9" s="75" t="s">
        <v>147</v>
      </c>
      <c r="C9" s="89">
        <f>C6*(1-C7)</f>
        <v>3.6437541664516862E-2</v>
      </c>
    </row>
    <row r="11" spans="2:6" x14ac:dyDescent="0.2">
      <c r="B11" s="17" t="s">
        <v>148</v>
      </c>
      <c r="C11" s="77">
        <v>4.3400000000000001E-2</v>
      </c>
    </row>
    <row r="12" spans="2:6" x14ac:dyDescent="0.2">
      <c r="B12" s="17" t="s">
        <v>149</v>
      </c>
      <c r="C12" s="77">
        <v>7.0000000000000007E-2</v>
      </c>
    </row>
    <row r="13" spans="2:6" x14ac:dyDescent="0.2">
      <c r="B13" s="17" t="s">
        <v>150</v>
      </c>
      <c r="C13" s="77">
        <f>C12-C11</f>
        <v>2.6600000000000006E-2</v>
      </c>
    </row>
    <row r="14" spans="2:6" x14ac:dyDescent="0.2">
      <c r="B14" s="17" t="s">
        <v>151</v>
      </c>
      <c r="C14" s="17">
        <v>1.55</v>
      </c>
    </row>
    <row r="15" spans="2:6" x14ac:dyDescent="0.2">
      <c r="B15" s="17" t="s">
        <v>152</v>
      </c>
      <c r="C15" s="87">
        <f>C3/SUM(C3:C4)</f>
        <v>0.99995913072062514</v>
      </c>
    </row>
    <row r="16" spans="2:6" x14ac:dyDescent="0.2">
      <c r="B16" s="75" t="s">
        <v>153</v>
      </c>
      <c r="C16" s="89">
        <f>C11+C14*(C13)</f>
        <v>8.4630000000000011E-2</v>
      </c>
    </row>
    <row r="18" spans="2:3" x14ac:dyDescent="0.2">
      <c r="B18" s="10" t="s">
        <v>154</v>
      </c>
      <c r="C18" s="88">
        <f>C9*C8+C16*C15</f>
        <v>8.4628030408956542E-2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D6FF-8DB9-47CA-AD7E-57919343CCE8}">
  <dimension ref="B2:K27"/>
  <sheetViews>
    <sheetView showGridLines="0" tabSelected="1" zoomScaleNormal="100" workbookViewId="0">
      <selection activeCell="M7" sqref="M7"/>
    </sheetView>
  </sheetViews>
  <sheetFormatPr defaultRowHeight="12" x14ac:dyDescent="0.2"/>
  <cols>
    <col min="1" max="1" width="9.140625" style="17"/>
    <col min="2" max="2" width="27.7109375" style="17" bestFit="1" customWidth="1"/>
    <col min="3" max="3" width="11.42578125" style="17" bestFit="1" customWidth="1"/>
    <col min="4" max="4" width="6.5703125" style="17" bestFit="1" customWidth="1"/>
    <col min="5" max="9" width="9.42578125" style="17" bestFit="1" customWidth="1"/>
    <col min="10" max="11" width="10.42578125" style="17" bestFit="1" customWidth="1"/>
    <col min="12" max="16384" width="9.140625" style="17"/>
  </cols>
  <sheetData>
    <row r="2" spans="2:11" x14ac:dyDescent="0.2">
      <c r="B2" s="8" t="s">
        <v>104</v>
      </c>
      <c r="C2" s="91"/>
      <c r="D2" s="8"/>
      <c r="E2" s="9"/>
      <c r="F2" s="9"/>
      <c r="G2" s="9"/>
      <c r="H2" s="9"/>
      <c r="I2" s="9"/>
      <c r="J2" s="9"/>
      <c r="K2" s="9"/>
    </row>
    <row r="3" spans="2:11" x14ac:dyDescent="0.2">
      <c r="B3" s="6" t="s">
        <v>87</v>
      </c>
      <c r="C3" s="13"/>
      <c r="D3" s="13">
        <v>44926</v>
      </c>
      <c r="E3" s="13">
        <v>45291</v>
      </c>
      <c r="F3" s="13">
        <v>45657</v>
      </c>
      <c r="G3" s="14">
        <v>46022</v>
      </c>
      <c r="H3" s="14">
        <v>46387</v>
      </c>
      <c r="I3" s="14">
        <v>46752</v>
      </c>
      <c r="J3" s="14">
        <v>47118</v>
      </c>
      <c r="K3" s="14">
        <v>47119</v>
      </c>
    </row>
    <row r="4" spans="2:11" x14ac:dyDescent="0.2">
      <c r="B4" s="17" t="s">
        <v>100</v>
      </c>
      <c r="C4" s="79"/>
      <c r="D4" s="79"/>
      <c r="E4" s="79">
        <f>'Free Cash Flow'!D21</f>
        <v>6950534.5553352274</v>
      </c>
      <c r="F4" s="79">
        <f>'Free Cash Flow'!E21</f>
        <v>9861863.9143270738</v>
      </c>
      <c r="G4" s="79">
        <f>'Free Cash Flow'!F21</f>
        <v>7761266.0111219501</v>
      </c>
      <c r="H4" s="79">
        <f>'Free Cash Flow'!G21</f>
        <v>8538412.7618325539</v>
      </c>
      <c r="I4" s="79">
        <f>'Free Cash Flow'!H21</f>
        <v>9407267.3844810557</v>
      </c>
      <c r="J4" s="79">
        <f>'Free Cash Flow'!I21</f>
        <v>10363047.712240169</v>
      </c>
      <c r="K4" s="79">
        <f>'Free Cash Flow'!J21</f>
        <v>11414391.687693916</v>
      </c>
    </row>
    <row r="6" spans="2:11" x14ac:dyDescent="0.2">
      <c r="B6" s="17" t="s">
        <v>157</v>
      </c>
      <c r="G6" s="17">
        <v>1</v>
      </c>
      <c r="H6" s="17">
        <v>2</v>
      </c>
      <c r="I6" s="17">
        <v>3</v>
      </c>
      <c r="J6" s="17">
        <v>4</v>
      </c>
      <c r="K6" s="17">
        <v>5</v>
      </c>
    </row>
    <row r="7" spans="2:11" x14ac:dyDescent="0.2">
      <c r="B7" s="75" t="s">
        <v>158</v>
      </c>
      <c r="C7" s="76"/>
      <c r="D7" s="76"/>
      <c r="E7" s="76"/>
      <c r="F7" s="76"/>
      <c r="G7" s="76">
        <f>G4/(1+$C$12)^G6</f>
        <v>7155693.7434076658</v>
      </c>
      <c r="H7" s="76">
        <f>H4/(1+$C$12)^H6</f>
        <v>7257975.4990046052</v>
      </c>
      <c r="I7" s="76">
        <f>I4/(1+$C$12)^I6</f>
        <v>7372605.8520078957</v>
      </c>
      <c r="J7" s="76">
        <f>J4/(1+$C$12)^J6</f>
        <v>7487971.835617342</v>
      </c>
      <c r="K7" s="76">
        <f>K4/(1+$C$12)^K6</f>
        <v>7604114.5767308204</v>
      </c>
    </row>
    <row r="9" spans="2:11" x14ac:dyDescent="0.2">
      <c r="B9" s="8" t="s">
        <v>159</v>
      </c>
      <c r="C9" s="8"/>
      <c r="D9" s="93"/>
      <c r="E9" s="94"/>
      <c r="F9" s="8" t="s">
        <v>172</v>
      </c>
      <c r="G9" s="8"/>
      <c r="H9" s="8"/>
      <c r="I9" s="8"/>
      <c r="J9" s="8"/>
      <c r="K9" s="8"/>
    </row>
    <row r="10" spans="2:11" x14ac:dyDescent="0.2">
      <c r="B10" s="17" t="s">
        <v>160</v>
      </c>
      <c r="C10" s="62">
        <f>SUM(C7:K7)</f>
        <v>36878361.506768323</v>
      </c>
      <c r="D10" s="62"/>
    </row>
    <row r="11" spans="2:11" x14ac:dyDescent="0.2">
      <c r="B11" s="17" t="s">
        <v>161</v>
      </c>
      <c r="C11" s="77">
        <v>5.9200000000000003E-2</v>
      </c>
      <c r="D11" s="77"/>
      <c r="G11" s="8" t="s">
        <v>161</v>
      </c>
      <c r="H11" s="8"/>
      <c r="I11" s="8"/>
      <c r="J11" s="8"/>
      <c r="K11" s="8"/>
    </row>
    <row r="12" spans="2:11" x14ac:dyDescent="0.2">
      <c r="B12" s="17" t="s">
        <v>154</v>
      </c>
      <c r="C12" s="77">
        <f>WACC!C18</f>
        <v>8.4628030408956542E-2</v>
      </c>
      <c r="D12" s="77"/>
      <c r="F12" s="90">
        <f>C21</f>
        <v>808.51564029282486</v>
      </c>
      <c r="G12" s="95">
        <f>H12-0.005</f>
        <v>4.9200000000000008E-2</v>
      </c>
      <c r="H12" s="95">
        <f>I12-0.005</f>
        <v>5.4200000000000005E-2</v>
      </c>
      <c r="I12" s="95">
        <f>C11</f>
        <v>5.9200000000000003E-2</v>
      </c>
      <c r="J12" s="95">
        <f>I12+0.005</f>
        <v>6.4200000000000007E-2</v>
      </c>
      <c r="K12" s="95">
        <f>J12+0.005</f>
        <v>6.9200000000000012E-2</v>
      </c>
    </row>
    <row r="13" spans="2:11" x14ac:dyDescent="0.2">
      <c r="B13" s="17" t="s">
        <v>162</v>
      </c>
      <c r="C13" s="62">
        <f>K4*(1+C11)/(C12-C11)</f>
        <v>475464417.85545766</v>
      </c>
      <c r="D13" s="62"/>
      <c r="E13" s="108" t="s">
        <v>154</v>
      </c>
      <c r="F13" s="95">
        <f>F14-0.005</f>
        <v>7.4628030408956533E-2</v>
      </c>
      <c r="G13" s="62">
        <f t="dataTable" ref="G13:K17" dt2D="1" dtr="1" r1="C11" r2="C12" ca="1"/>
        <v>838.75553515643753</v>
      </c>
      <c r="H13" s="62">
        <v>709.45321212116869</v>
      </c>
      <c r="I13" s="62">
        <v>709.45321212116869</v>
      </c>
      <c r="J13" s="62">
        <v>838.75553515643753</v>
      </c>
      <c r="K13" s="62">
        <v>1348.7901815727178</v>
      </c>
    </row>
    <row r="14" spans="2:11" x14ac:dyDescent="0.2">
      <c r="B14" s="17" t="s">
        <v>163</v>
      </c>
      <c r="C14" s="62">
        <f>C13/(1+C12)^5</f>
        <v>316748015.08953357</v>
      </c>
      <c r="D14" s="62"/>
      <c r="E14" s="108"/>
      <c r="F14" s="95">
        <f>F15-0.005</f>
        <v>7.9628030408956538E-2</v>
      </c>
      <c r="G14" s="62">
        <v>1050.6302672644429</v>
      </c>
      <c r="H14" s="106">
        <v>854.40486435976845</v>
      </c>
      <c r="I14" s="106">
        <v>854.40486435976845</v>
      </c>
      <c r="J14" s="106">
        <v>1050.6302672644429</v>
      </c>
      <c r="K14" s="62">
        <v>2007.5943949839545</v>
      </c>
    </row>
    <row r="15" spans="2:11" x14ac:dyDescent="0.2">
      <c r="B15" s="17" t="s">
        <v>164</v>
      </c>
      <c r="C15" s="62">
        <f>C14+C10</f>
        <v>353626376.59630191</v>
      </c>
      <c r="D15" s="62"/>
      <c r="E15" s="108"/>
      <c r="F15" s="95">
        <f>C12</f>
        <v>8.4628030408956542E-2</v>
      </c>
      <c r="G15" s="62">
        <v>1050.6302672644429</v>
      </c>
      <c r="H15" s="106">
        <v>854.40486435976845</v>
      </c>
      <c r="I15" s="107">
        <v>854.40486435976845</v>
      </c>
      <c r="J15" s="106">
        <v>1050.6302672644429</v>
      </c>
      <c r="K15" s="62">
        <v>2007.5943949839545</v>
      </c>
    </row>
    <row r="16" spans="2:11" x14ac:dyDescent="0.2">
      <c r="B16" s="17" t="s">
        <v>167</v>
      </c>
      <c r="C16" s="62">
        <f>'Balance Sheet'!E6</f>
        <v>7804733</v>
      </c>
      <c r="D16" s="62"/>
      <c r="E16" s="108"/>
      <c r="F16" s="95">
        <f>F15+0.005</f>
        <v>8.9628030408956547E-2</v>
      </c>
      <c r="G16" s="62">
        <v>838.75553515643753</v>
      </c>
      <c r="H16" s="106">
        <v>709.45321212116869</v>
      </c>
      <c r="I16" s="106">
        <v>709.45321212116869</v>
      </c>
      <c r="J16" s="106">
        <v>838.75553515643753</v>
      </c>
      <c r="K16" s="62">
        <v>1348.7901815727178</v>
      </c>
    </row>
    <row r="17" spans="2:11" x14ac:dyDescent="0.2">
      <c r="B17" s="17" t="s">
        <v>168</v>
      </c>
      <c r="C17" s="62">
        <f>WACC!C4</f>
        <v>15582804</v>
      </c>
      <c r="D17" s="62"/>
      <c r="E17" s="108"/>
      <c r="F17" s="95">
        <f>F16+0.005</f>
        <v>9.4628030408956551E-2</v>
      </c>
      <c r="G17" s="62">
        <v>594.48669159291251</v>
      </c>
      <c r="H17" s="62">
        <v>527.17776557196214</v>
      </c>
      <c r="I17" s="62">
        <v>527.17776557196214</v>
      </c>
      <c r="J17" s="62">
        <v>594.48669159291251</v>
      </c>
      <c r="K17" s="62">
        <v>808.51564029282486</v>
      </c>
    </row>
    <row r="18" spans="2:11" x14ac:dyDescent="0.2">
      <c r="B18" s="17" t="s">
        <v>169</v>
      </c>
    </row>
    <row r="19" spans="2:11" x14ac:dyDescent="0.2">
      <c r="B19" s="82" t="s">
        <v>165</v>
      </c>
      <c r="C19" s="84">
        <f>C15+C16-C17-C18</f>
        <v>345848305.59630191</v>
      </c>
      <c r="D19" s="62"/>
    </row>
    <row r="20" spans="2:11" x14ac:dyDescent="0.2">
      <c r="B20" s="82" t="s">
        <v>170</v>
      </c>
      <c r="C20" s="84">
        <v>427757100</v>
      </c>
      <c r="D20" s="62"/>
    </row>
    <row r="21" spans="2:11" x14ac:dyDescent="0.2">
      <c r="B21" s="10" t="s">
        <v>166</v>
      </c>
      <c r="C21" s="105">
        <f>C19/C20*1000</f>
        <v>808.51564029282486</v>
      </c>
      <c r="D21" s="92"/>
    </row>
    <row r="26" spans="2:11" ht="15.75" x14ac:dyDescent="0.25">
      <c r="B26" s="96"/>
      <c r="C26" s="97"/>
      <c r="D26" s="98"/>
      <c r="E26" s="98"/>
      <c r="F26" s="99"/>
      <c r="G26" s="100"/>
    </row>
    <row r="27" spans="2:11" ht="15.75" x14ac:dyDescent="0.25">
      <c r="B27" s="101"/>
      <c r="C27" s="102"/>
      <c r="D27" s="103"/>
      <c r="E27" s="103"/>
      <c r="F27" s="103"/>
      <c r="G27" s="103"/>
    </row>
  </sheetData>
  <mergeCells count="1">
    <mergeCell ref="E13:E17"/>
  </mergeCells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Statement Of Operations</vt:lpstr>
      <vt:lpstr>Income Statement</vt:lpstr>
      <vt:lpstr>Cash Flows</vt:lpstr>
      <vt:lpstr>Balance Sheet</vt:lpstr>
      <vt:lpstr>Fixed Assets</vt:lpstr>
      <vt:lpstr>Net Working Capital</vt:lpstr>
      <vt:lpstr>Free Cash Flow</vt:lpstr>
      <vt:lpstr>WACC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Milosh Smiljkovikj</cp:lastModifiedBy>
  <cp:lastPrinted>2025-04-21T13:46:34Z</cp:lastPrinted>
  <dcterms:created xsi:type="dcterms:W3CDTF">2015-06-05T18:17:20Z</dcterms:created>
  <dcterms:modified xsi:type="dcterms:W3CDTF">2025-04-22T17:48:31Z</dcterms:modified>
</cp:coreProperties>
</file>