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drawings/drawing1.xml" ContentType="application/vnd.openxmlformats-officedocument.drawing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omments1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-870" yWindow="720" windowWidth="11415" windowHeight="7545" tabRatio="930" firstSheet="4" activeTab="1"/>
  </bookViews>
  <sheets>
    <sheet name="CODIFICACION" sheetId="47" r:id="rId1"/>
    <sheet name="General" sheetId="1" r:id="rId2"/>
    <sheet name="Financiera" sheetId="8" r:id="rId3"/>
    <sheet name="Terminal" sheetId="7" r:id="rId4"/>
    <sheet name="CCBS" sheetId="33" r:id="rId5"/>
    <sheet name="Registro" sheetId="42" r:id="rId6"/>
    <sheet name="VIGILANCIA Y SEGURIDAD" sheetId="6" r:id="rId7"/>
    <sheet name="Educ.Cult " sheetId="13" r:id="rId8"/>
    <sheet name="A.social" sheetId="5" r:id="rId9"/>
    <sheet name="DESARROLLO SOC" sheetId="32" r:id="rId10"/>
    <sheet name="Gestion Riegos" sheetId="41" r:id="rId11"/>
    <sheet name="Planif." sheetId="12" r:id="rId12"/>
    <sheet name="Movilidad" sheetId="43" r:id="rId13"/>
    <sheet name="SEMERTAZ" sheetId="37" r:id="rId14"/>
    <sheet name="OBRAS PÚBLICAS" sheetId="10" r:id="rId15"/>
    <sheet name="P.y Jard." sheetId="15" r:id="rId16"/>
    <sheet name="barrido" sheetId="28" r:id="rId17"/>
    <sheet name="ADMINISTRACION ASEO" sheetId="27" r:id="rId18"/>
    <sheet name="RECOLECCION" sheetId="26" r:id="rId19"/>
    <sheet name="disposicion" sheetId="29" r:id="rId20"/>
    <sheet name="educacion" sheetId="25" r:id="rId21"/>
    <sheet name="Cementerio" sheetId="9" r:id="rId22"/>
    <sheet name="Mercados" sheetId="14" r:id="rId23"/>
    <sheet name="Camal" sheetId="2" r:id="rId24"/>
    <sheet name="G.comunes" sheetId="3" r:id="rId25"/>
    <sheet name="TOTAL" sheetId="39" r:id="rId26"/>
    <sheet name="EST.GASTO" sheetId="45" r:id="rId27"/>
    <sheet name="Hoja1" sheetId="44" r:id="rId28"/>
    <sheet name="Vulnerables" sheetId="46" r:id="rId29"/>
  </sheets>
  <externalReferences>
    <externalReference r:id="rId30"/>
    <externalReference r:id="rId31"/>
  </externalReferences>
  <definedNames>
    <definedName name="_xlnm.Print_Area" localSheetId="23">Camal!$A$1:$D$68</definedName>
    <definedName name="_xlnm.Print_Area" localSheetId="21">Cementerio!$A$1:$D$67</definedName>
    <definedName name="_xlnm.Print_Area" localSheetId="19">disposicion!$A$1:$D$50</definedName>
    <definedName name="_xlnm.Print_Area" localSheetId="7">'Educ.Cult '!$A$1:$D$93</definedName>
    <definedName name="_xlnm.Print_Area" localSheetId="20">educacion!$A$1:$D$21</definedName>
    <definedName name="_xlnm.Print_Area" localSheetId="2">Financiera!$A$1:$D$59</definedName>
    <definedName name="_xlnm.Print_Area" localSheetId="24">G.comunes!$A$1:$D$66</definedName>
    <definedName name="_xlnm.Print_Area" localSheetId="1">General!$A$1:$D$89</definedName>
    <definedName name="_xlnm.Print_Area" localSheetId="22">Mercados!$A$1:$D$67</definedName>
    <definedName name="_xlnm.Print_Area" localSheetId="14">'OBRAS PÚBLICAS'!$A$1:$D$104</definedName>
    <definedName name="_xlnm.Print_Area" localSheetId="15">'P.y Jard.'!$A$1:$D$53</definedName>
    <definedName name="_xlnm.Print_Area" localSheetId="11">Planif.!$A$1:$D$60</definedName>
    <definedName name="_xlnm.Print_Area" localSheetId="3">Terminal!$A$1:$D$71</definedName>
    <definedName name="_xlnm.Print_Area" localSheetId="6">'VIGILANCIA Y SEGURIDAD'!$A$1:$D$42</definedName>
    <definedName name="End_Bal">'[1]Tabla de amortización'!$I$18:$I$377</definedName>
    <definedName name="Header_Row">ROW('[1]Tabla de amortización'!$17:$17)</definedName>
    <definedName name="Interest_Rate">'[1]Tabla de amortización'!$D$7</definedName>
    <definedName name="Last_Row">IF(Values_Entered,Header_Row+Number_of_Payments,Header_Row)</definedName>
    <definedName name="Loan_Amount">'[1]Tabla de amortización'!$D$6</definedName>
    <definedName name="Loan_Start">'[1]Tabla de amortización'!$D$10</definedName>
    <definedName name="Loan_Years">'[1]Tabla de amortización'!$D$8</definedName>
    <definedName name="Number_of_Payments">MATCH(0.01,End_Bal,-1)+1</definedName>
    <definedName name="Values_Entered">IF(Loan_Amount*Interest_Rate*Loan_Years*Loan_Start&gt;0,1,0)</definedName>
  </definedNames>
  <calcPr calcId="152511"/>
</workbook>
</file>

<file path=xl/calcChain.xml><?xml version="1.0" encoding="utf-8"?>
<calcChain xmlns="http://schemas.openxmlformats.org/spreadsheetml/2006/main">
  <c r="N14" i="5" l="1"/>
  <c r="N50" i="5"/>
  <c r="Q86" i="5"/>
  <c r="W138" i="5"/>
  <c r="W151" i="5"/>
  <c r="W152" i="5"/>
  <c r="P160" i="5"/>
  <c r="R163" i="5"/>
  <c r="V163" i="5"/>
  <c r="T174" i="5"/>
  <c r="T175" i="5"/>
  <c r="W175" i="5"/>
  <c r="C32" i="1"/>
  <c r="C59" i="12"/>
  <c r="C62" i="10"/>
  <c r="C72" i="14"/>
  <c r="C27" i="25"/>
  <c r="C66" i="26"/>
  <c r="C75" i="43"/>
  <c r="C57" i="32"/>
  <c r="C104" i="10"/>
  <c r="F13" i="45"/>
  <c r="C150" i="5"/>
  <c r="C50" i="15"/>
  <c r="C62" i="13"/>
  <c r="C12" i="37"/>
  <c r="C64" i="37"/>
  <c r="C60" i="37"/>
  <c r="C56" i="37"/>
  <c r="C51" i="37"/>
  <c r="C49" i="37"/>
  <c r="C48" i="37"/>
  <c r="C52" i="5"/>
  <c r="D54" i="43"/>
  <c r="C85" i="1"/>
  <c r="C55" i="1"/>
  <c r="C53" i="2"/>
  <c r="C37" i="26"/>
  <c r="C38" i="28"/>
  <c r="C47" i="28" s="1"/>
  <c r="D15" i="25"/>
  <c r="D40" i="28"/>
  <c r="C31" i="41"/>
  <c r="C30" i="41"/>
  <c r="C17" i="41"/>
  <c r="C16" i="41"/>
  <c r="C30" i="42"/>
  <c r="C29" i="42"/>
  <c r="C16" i="42"/>
  <c r="C15" i="42"/>
  <c r="C32" i="8"/>
  <c r="C31" i="8"/>
  <c r="C18" i="8"/>
  <c r="C17" i="8"/>
  <c r="C31" i="1"/>
  <c r="C18" i="1"/>
  <c r="C17" i="1"/>
  <c r="C71" i="10"/>
  <c r="C17" i="10"/>
  <c r="C16" i="10"/>
  <c r="C146" i="5"/>
  <c r="C28" i="1"/>
  <c r="C50" i="12"/>
  <c r="C8" i="28" l="1"/>
  <c r="D99" i="10"/>
  <c r="C14" i="39"/>
  <c r="D61" i="9"/>
  <c r="C16" i="3"/>
  <c r="C75" i="3" s="1"/>
  <c r="D44" i="32"/>
  <c r="C15" i="39"/>
  <c r="C10" i="39"/>
  <c r="C9" i="39"/>
  <c r="D11" i="41"/>
  <c r="D34" i="29"/>
  <c r="D63" i="37"/>
  <c r="C22" i="10"/>
  <c r="C53" i="42"/>
  <c r="C17" i="9"/>
  <c r="C18" i="9"/>
  <c r="C31" i="9"/>
  <c r="C32" i="9"/>
  <c r="C53" i="9"/>
  <c r="C86" i="13"/>
  <c r="C31" i="13"/>
  <c r="C30" i="13"/>
  <c r="C17" i="13"/>
  <c r="C16" i="13"/>
  <c r="C58" i="33"/>
  <c r="C31" i="33"/>
  <c r="C30" i="33"/>
  <c r="C17" i="33"/>
  <c r="C16" i="33"/>
  <c r="C32" i="2"/>
  <c r="C31" i="2"/>
  <c r="C18" i="2"/>
  <c r="C17" i="2"/>
  <c r="C50" i="27"/>
  <c r="C31" i="27"/>
  <c r="C30" i="27"/>
  <c r="C17" i="27"/>
  <c r="C16" i="27"/>
  <c r="C56" i="27" s="1"/>
  <c r="C51" i="10"/>
  <c r="C31" i="10"/>
  <c r="C30" i="10"/>
  <c r="C23" i="10"/>
  <c r="C20" i="10"/>
  <c r="C19" i="10"/>
  <c r="C14" i="10"/>
  <c r="C45" i="15"/>
  <c r="C30" i="15"/>
  <c r="C29" i="15"/>
  <c r="C16" i="15"/>
  <c r="C15" i="15"/>
  <c r="C60" i="15" s="1"/>
  <c r="C41" i="5"/>
  <c r="C31" i="5"/>
  <c r="C30" i="5"/>
  <c r="C17" i="5"/>
  <c r="C16" i="5"/>
  <c r="C41" i="6"/>
  <c r="C31" i="6"/>
  <c r="C30" i="6"/>
  <c r="C17" i="6"/>
  <c r="C16" i="6"/>
  <c r="C51" i="8"/>
  <c r="C63" i="1"/>
  <c r="D51" i="43"/>
  <c r="D70" i="43"/>
  <c r="D37" i="43"/>
  <c r="D64" i="43"/>
  <c r="D63" i="43" s="1"/>
  <c r="D41" i="41"/>
  <c r="D44" i="37"/>
  <c r="D69" i="33"/>
  <c r="D68" i="33" s="1"/>
  <c r="C56" i="1"/>
  <c r="C45" i="1"/>
  <c r="C129" i="5"/>
  <c r="C119" i="5"/>
  <c r="C116" i="5"/>
  <c r="C152" i="5"/>
  <c r="C115" i="5"/>
  <c r="C138" i="5"/>
  <c r="C175" i="5"/>
  <c r="C159" i="5"/>
  <c r="C157" i="5"/>
  <c r="C165" i="5"/>
  <c r="C151" i="5"/>
  <c r="C163" i="5"/>
  <c r="C174" i="5"/>
  <c r="C139" i="5"/>
  <c r="C160" i="5"/>
  <c r="C71" i="2" l="1"/>
  <c r="C104" i="13"/>
  <c r="O6" i="5"/>
  <c r="C60" i="5"/>
  <c r="N13" i="5"/>
  <c r="N6" i="5"/>
  <c r="C76" i="9"/>
  <c r="C86" i="5"/>
  <c r="C81" i="5"/>
  <c r="C179" i="5" s="1"/>
  <c r="C48" i="29"/>
  <c r="C53" i="29" s="1"/>
  <c r="C39" i="8"/>
  <c r="C62" i="8" s="1"/>
  <c r="C42" i="7"/>
  <c r="C74" i="7" s="1"/>
  <c r="C60" i="1"/>
  <c r="C92" i="1" s="1"/>
  <c r="C87" i="1"/>
  <c r="C54" i="41"/>
  <c r="D49" i="41" l="1"/>
  <c r="C61" i="41"/>
  <c r="D68" i="3"/>
  <c r="D31" i="46" l="1"/>
  <c r="D30" i="46"/>
  <c r="E28" i="46" s="1"/>
  <c r="E6" i="46"/>
  <c r="E11" i="46"/>
  <c r="E9" i="46"/>
  <c r="D29" i="32"/>
  <c r="D15" i="32"/>
  <c r="D11" i="32"/>
  <c r="D57" i="33"/>
  <c r="D24" i="33"/>
  <c r="D21" i="33"/>
  <c r="D18" i="33"/>
  <c r="D11" i="33"/>
  <c r="D10" i="32" l="1"/>
  <c r="E32" i="46"/>
  <c r="C9" i="25"/>
  <c r="D25" i="1"/>
  <c r="D32" i="12"/>
  <c r="D32" i="13"/>
  <c r="D28" i="42"/>
  <c r="D32" i="41"/>
  <c r="D105" i="5"/>
  <c r="D111" i="5"/>
  <c r="D30" i="8"/>
  <c r="D11" i="1"/>
  <c r="D33" i="1"/>
  <c r="D32" i="10"/>
  <c r="D24" i="10"/>
  <c r="D15" i="10"/>
  <c r="D29" i="41"/>
  <c r="D15" i="41"/>
  <c r="D34" i="43"/>
  <c r="D26" i="43"/>
  <c r="D31" i="42"/>
  <c r="D23" i="42"/>
  <c r="D20" i="42"/>
  <c r="D17" i="42"/>
  <c r="D14" i="42"/>
  <c r="D10" i="42"/>
  <c r="D41" i="3"/>
  <c r="D25" i="2"/>
  <c r="D22" i="2"/>
  <c r="D19" i="2"/>
  <c r="D12" i="2"/>
  <c r="D24" i="14"/>
  <c r="D11" i="14"/>
  <c r="D22" i="9"/>
  <c r="D19" i="9"/>
  <c r="D12" i="9"/>
  <c r="D33" i="26"/>
  <c r="D30" i="26"/>
  <c r="D25" i="26"/>
  <c r="D22" i="26"/>
  <c r="D19" i="26"/>
  <c r="D16" i="26"/>
  <c r="D12" i="26"/>
  <c r="D11" i="27"/>
  <c r="D21" i="27"/>
  <c r="D18" i="27"/>
  <c r="D32" i="28"/>
  <c r="D29" i="28"/>
  <c r="D21" i="28"/>
  <c r="D18" i="28"/>
  <c r="D15" i="28"/>
  <c r="D11" i="28"/>
  <c r="D31" i="15"/>
  <c r="D28" i="15"/>
  <c r="D23" i="15"/>
  <c r="D20" i="15"/>
  <c r="D17" i="15"/>
  <c r="D32" i="37"/>
  <c r="D24" i="37"/>
  <c r="D24" i="12"/>
  <c r="D11" i="12"/>
  <c r="D29" i="12"/>
  <c r="D108" i="5"/>
  <c r="D94" i="5"/>
  <c r="C77" i="5"/>
  <c r="D29" i="5"/>
  <c r="D25" i="5"/>
  <c r="D15" i="5"/>
  <c r="D29" i="13"/>
  <c r="D25" i="13"/>
  <c r="D21" i="13"/>
  <c r="D18" i="13"/>
  <c r="D11" i="13"/>
  <c r="D21" i="6"/>
  <c r="D32" i="6"/>
  <c r="D25" i="6"/>
  <c r="D18" i="6"/>
  <c r="D11" i="6"/>
  <c r="D32" i="7"/>
  <c r="D29" i="7"/>
  <c r="D25" i="7"/>
  <c r="D15" i="7"/>
  <c r="D11" i="7"/>
  <c r="D33" i="8"/>
  <c r="D25" i="8"/>
  <c r="D22" i="8"/>
  <c r="D19" i="8"/>
  <c r="D16" i="8"/>
  <c r="D12" i="8"/>
  <c r="D41" i="1"/>
  <c r="D30" i="1"/>
  <c r="D19" i="1"/>
  <c r="D11" i="10"/>
  <c r="D30" i="2"/>
  <c r="D16" i="2"/>
  <c r="C7" i="15"/>
  <c r="D31" i="43"/>
  <c r="D29" i="37"/>
  <c r="D15" i="12"/>
  <c r="D64" i="42"/>
  <c r="D63" i="42" s="1"/>
  <c r="D62" i="42" s="1"/>
  <c r="D30" i="9"/>
  <c r="D29" i="33"/>
  <c r="D21" i="14"/>
  <c r="D29" i="27"/>
  <c r="D11" i="5"/>
  <c r="D29" i="6"/>
  <c r="D15" i="6"/>
  <c r="D29" i="14"/>
  <c r="D15" i="27"/>
  <c r="D21" i="5"/>
  <c r="D18" i="14" l="1"/>
  <c r="C8" i="14"/>
  <c r="D18" i="5"/>
  <c r="D10" i="5" s="1"/>
  <c r="D10" i="6"/>
  <c r="D10" i="27"/>
  <c r="D11" i="2"/>
  <c r="D15" i="33"/>
  <c r="D10" i="33" s="1"/>
  <c r="D10" i="7"/>
  <c r="C8" i="5"/>
  <c r="D15" i="14"/>
  <c r="D10" i="14" s="1"/>
  <c r="C9" i="2"/>
  <c r="D17" i="43"/>
  <c r="D21" i="10"/>
  <c r="D10" i="12"/>
  <c r="C9" i="9"/>
  <c r="D16" i="9"/>
  <c r="D11" i="26"/>
  <c r="D9" i="42"/>
  <c r="D11" i="8"/>
  <c r="D57" i="7"/>
  <c r="D92" i="13"/>
  <c r="D91" i="13" s="1"/>
  <c r="D95" i="10"/>
  <c r="D94" i="10" s="1"/>
  <c r="D56" i="26"/>
  <c r="D65" i="10" l="1"/>
  <c r="D61" i="10" l="1"/>
  <c r="D53" i="8" l="1"/>
  <c r="D44" i="8"/>
  <c r="D68" i="1"/>
  <c r="D47" i="1"/>
  <c r="D35" i="41"/>
  <c r="D53" i="41"/>
  <c r="D57" i="41" l="1"/>
  <c r="D56" i="41" s="1"/>
  <c r="D55" i="41" s="1"/>
  <c r="T7" i="45" s="1"/>
  <c r="D48" i="41"/>
  <c r="T8" i="45" s="1"/>
  <c r="D38" i="41"/>
  <c r="D10" i="41"/>
  <c r="D47" i="5"/>
  <c r="D57" i="8"/>
  <c r="D52" i="42"/>
  <c r="D61" i="1"/>
  <c r="D43" i="41" l="1"/>
  <c r="D34" i="41" s="1"/>
  <c r="C8" i="41"/>
  <c r="D9" i="41"/>
  <c r="D52" i="2"/>
  <c r="D45" i="2"/>
  <c r="D66" i="14"/>
  <c r="D49" i="14"/>
  <c r="D57" i="14"/>
  <c r="D60" i="14"/>
  <c r="D39" i="9"/>
  <c r="D36" i="9"/>
  <c r="D12" i="25"/>
  <c r="D47" i="29"/>
  <c r="D49" i="29"/>
  <c r="D27" i="29"/>
  <c r="D25" i="29"/>
  <c r="D22" i="29"/>
  <c r="D35" i="28"/>
  <c r="D59" i="37"/>
  <c r="D58" i="37" s="1"/>
  <c r="D57" i="37" s="1"/>
  <c r="D37" i="37"/>
  <c r="D57" i="12"/>
  <c r="D35" i="32"/>
  <c r="D134" i="5"/>
  <c r="D114" i="5"/>
  <c r="D90" i="5"/>
  <c r="D173" i="5"/>
  <c r="D169" i="5"/>
  <c r="D168" i="5" s="1"/>
  <c r="D164" i="5"/>
  <c r="D149" i="5"/>
  <c r="D147" i="5"/>
  <c r="D144" i="5"/>
  <c r="D142" i="5"/>
  <c r="D137" i="5"/>
  <c r="D118" i="5"/>
  <c r="D102" i="5"/>
  <c r="D97" i="5"/>
  <c r="D84" i="5"/>
  <c r="D82" i="5"/>
  <c r="D80" i="5"/>
  <c r="D44" i="5"/>
  <c r="D42" i="5" s="1"/>
  <c r="D37" i="13"/>
  <c r="D82" i="13"/>
  <c r="D81" i="13" s="1"/>
  <c r="D78" i="13"/>
  <c r="D74" i="13"/>
  <c r="D79" i="5" l="1"/>
  <c r="D78" i="5" s="1"/>
  <c r="F9" i="45" s="1"/>
  <c r="V9" i="45" s="1"/>
  <c r="D8" i="41"/>
  <c r="T6" i="45"/>
  <c r="T12" i="45" s="1"/>
  <c r="D89" i="5"/>
  <c r="P22" i="5" s="1"/>
  <c r="D46" i="29"/>
  <c r="D113" i="5"/>
  <c r="D21" i="29"/>
  <c r="C35" i="39" l="1"/>
  <c r="D172" i="5"/>
  <c r="D171" i="5" s="1"/>
  <c r="F7" i="45" s="1"/>
  <c r="D99" i="5"/>
  <c r="D88" i="5" s="1"/>
  <c r="D40" i="33"/>
  <c r="D77" i="5" l="1"/>
  <c r="D56" i="7"/>
  <c r="R8" i="45" s="1"/>
  <c r="N77" i="5" l="1"/>
  <c r="C33" i="39"/>
  <c r="D13" i="43"/>
  <c r="D12" i="43" s="1"/>
  <c r="D59" i="43"/>
  <c r="D60" i="42"/>
  <c r="D59" i="42" s="1"/>
  <c r="D45" i="43"/>
  <c r="D41" i="43"/>
  <c r="D50" i="42"/>
  <c r="D48" i="42"/>
  <c r="D45" i="42"/>
  <c r="D38" i="42"/>
  <c r="C36" i="42"/>
  <c r="C35" i="42"/>
  <c r="C8" i="7"/>
  <c r="C74" i="10"/>
  <c r="D72" i="10" s="1"/>
  <c r="D38" i="7"/>
  <c r="C7" i="42" l="1"/>
  <c r="C74" i="42"/>
  <c r="C10" i="43"/>
  <c r="D69" i="43"/>
  <c r="D68" i="43" s="1"/>
  <c r="S7" i="45" s="1"/>
  <c r="D48" i="43"/>
  <c r="D36" i="43" s="1"/>
  <c r="D42" i="42"/>
  <c r="D34" i="42"/>
  <c r="D33" i="42" s="1"/>
  <c r="D68" i="42"/>
  <c r="D67" i="42" s="1"/>
  <c r="D66" i="42" s="1"/>
  <c r="U7" i="45" s="1"/>
  <c r="D11" i="43" l="1"/>
  <c r="S8" i="45" s="1"/>
  <c r="S12" i="45" s="1"/>
  <c r="D8" i="42"/>
  <c r="C58" i="10"/>
  <c r="D10" i="43" l="1"/>
  <c r="D7" i="42"/>
  <c r="U6" i="45"/>
  <c r="U12" i="45" s="1"/>
  <c r="D39" i="13"/>
  <c r="C49" i="10"/>
  <c r="C107" i="10" s="1"/>
  <c r="C38" i="39" l="1"/>
  <c r="C29" i="39"/>
  <c r="D35" i="27"/>
  <c r="D82" i="10"/>
  <c r="D48" i="10"/>
  <c r="D46" i="10"/>
  <c r="D43" i="10"/>
  <c r="D40" i="10"/>
  <c r="D37" i="10"/>
  <c r="D35" i="10"/>
  <c r="D76" i="1"/>
  <c r="D97" i="13"/>
  <c r="D75" i="13"/>
  <c r="D85" i="13"/>
  <c r="D50" i="8" l="1"/>
  <c r="D48" i="8"/>
  <c r="D67" i="2" l="1"/>
  <c r="D62" i="2"/>
  <c r="D39" i="2"/>
  <c r="D42" i="2"/>
  <c r="D36" i="2"/>
  <c r="D50" i="2"/>
  <c r="D52" i="9"/>
  <c r="D73" i="9"/>
  <c r="D72" i="9" s="1"/>
  <c r="D71" i="9" s="1"/>
  <c r="L7" i="45" s="1"/>
  <c r="D50" i="9"/>
  <c r="D48" i="9"/>
  <c r="D45" i="9"/>
  <c r="D55" i="15"/>
  <c r="D63" i="10"/>
  <c r="C38" i="37"/>
  <c r="C54" i="12"/>
  <c r="C53" i="12"/>
  <c r="C62" i="12" s="1"/>
  <c r="C8" i="37" l="1"/>
  <c r="C68" i="37"/>
  <c r="D35" i="9"/>
  <c r="D35" i="2"/>
  <c r="D10" i="2" s="1"/>
  <c r="M6" i="45" s="1"/>
  <c r="D76" i="33"/>
  <c r="C39" i="33"/>
  <c r="C48" i="33"/>
  <c r="C49" i="33"/>
  <c r="D53" i="33"/>
  <c r="D55" i="33"/>
  <c r="C80" i="33" l="1"/>
  <c r="C8" i="1"/>
  <c r="D36" i="1"/>
  <c r="D35" i="33"/>
  <c r="C8" i="33"/>
  <c r="D47" i="33"/>
  <c r="D49" i="27"/>
  <c r="D22" i="1" l="1"/>
  <c r="D57" i="1" l="1"/>
  <c r="D50" i="10" l="1"/>
  <c r="D14" i="15"/>
  <c r="D18" i="10" l="1"/>
  <c r="C8" i="10"/>
  <c r="D59" i="1"/>
  <c r="D52" i="1"/>
  <c r="D16" i="1"/>
  <c r="D10" i="1" s="1"/>
  <c r="D75" i="1" l="1"/>
  <c r="D74" i="1" s="1"/>
  <c r="B8" i="45" s="1"/>
  <c r="D10" i="15"/>
  <c r="D9" i="15" s="1"/>
  <c r="C8" i="13"/>
  <c r="D38" i="14"/>
  <c r="D20" i="3"/>
  <c r="D36" i="12"/>
  <c r="D50" i="32"/>
  <c r="D15" i="37"/>
  <c r="D48" i="15"/>
  <c r="D47" i="15" s="1"/>
  <c r="J8" i="45" s="1"/>
  <c r="D11" i="37"/>
  <c r="D24" i="28"/>
  <c r="D10" i="28" s="1"/>
  <c r="D14" i="29"/>
  <c r="D50" i="26"/>
  <c r="D49" i="26" s="1"/>
  <c r="D46" i="7"/>
  <c r="D11" i="3"/>
  <c r="D103" i="10"/>
  <c r="D48" i="12"/>
  <c r="D29" i="3"/>
  <c r="D69" i="7"/>
  <c r="D68" i="7" s="1"/>
  <c r="D67" i="7" s="1"/>
  <c r="R7" i="45" s="1"/>
  <c r="D52" i="7"/>
  <c r="D61" i="2"/>
  <c r="D60" i="2" s="1"/>
  <c r="M8" i="45" s="1"/>
  <c r="D55" i="37"/>
  <c r="D62" i="3"/>
  <c r="D13" i="3"/>
  <c r="D27" i="3"/>
  <c r="D40" i="6"/>
  <c r="D12" i="29"/>
  <c r="D45" i="26"/>
  <c r="D44" i="26" s="1"/>
  <c r="C8" i="32"/>
  <c r="D13" i="7"/>
  <c r="D35" i="3"/>
  <c r="D35" i="7"/>
  <c r="D33" i="29"/>
  <c r="D20" i="29" s="1"/>
  <c r="D60" i="3"/>
  <c r="D11" i="25"/>
  <c r="D10" i="25" s="1"/>
  <c r="D72" i="1"/>
  <c r="D71" i="1" s="1"/>
  <c r="D16" i="29"/>
  <c r="D39" i="27"/>
  <c r="D40" i="14"/>
  <c r="D35" i="14"/>
  <c r="D65" i="14"/>
  <c r="D64" i="14" s="1"/>
  <c r="P7" i="45" s="1"/>
  <c r="D50" i="33"/>
  <c r="D34" i="33" s="1"/>
  <c r="D47" i="37"/>
  <c r="D18" i="37"/>
  <c r="D90" i="13"/>
  <c r="D66" i="2"/>
  <c r="D65" i="2" s="1"/>
  <c r="M7" i="45" s="1"/>
  <c r="D15" i="3"/>
  <c r="D51" i="3"/>
  <c r="D35" i="5"/>
  <c r="D35" i="13"/>
  <c r="D34" i="13" s="1"/>
  <c r="D57" i="5"/>
  <c r="D25" i="3"/>
  <c r="D24" i="3" s="1"/>
  <c r="D64" i="33"/>
  <c r="D63" i="33" s="1"/>
  <c r="D36" i="8"/>
  <c r="D35" i="6"/>
  <c r="D37" i="32"/>
  <c r="D39" i="12"/>
  <c r="D42" i="12"/>
  <c r="D43" i="14"/>
  <c r="D47" i="14"/>
  <c r="D40" i="26"/>
  <c r="D39" i="26" s="1"/>
  <c r="D61" i="26"/>
  <c r="D60" i="26" s="1"/>
  <c r="D59" i="26" s="1"/>
  <c r="Q11" i="45" s="1"/>
  <c r="V11" i="45" s="1"/>
  <c r="D57" i="3"/>
  <c r="D56" i="3" s="1"/>
  <c r="D43" i="7"/>
  <c r="D50" i="7"/>
  <c r="D37" i="3"/>
  <c r="D45" i="27"/>
  <c r="D42" i="27"/>
  <c r="D47" i="27"/>
  <c r="D36" i="15"/>
  <c r="D43" i="3"/>
  <c r="D40" i="3" s="1"/>
  <c r="D37" i="5"/>
  <c r="C39" i="6"/>
  <c r="D17" i="3"/>
  <c r="D15" i="13"/>
  <c r="D10" i="13" s="1"/>
  <c r="D40" i="32"/>
  <c r="D42" i="32"/>
  <c r="D96" i="13"/>
  <c r="D95" i="13" s="1"/>
  <c r="E7" i="45" s="1"/>
  <c r="D49" i="32"/>
  <c r="D48" i="32" s="1"/>
  <c r="G8" i="45" s="1"/>
  <c r="D45" i="12"/>
  <c r="D45" i="29"/>
  <c r="Q7" i="45" s="1"/>
  <c r="D41" i="37"/>
  <c r="D56" i="12"/>
  <c r="D55" i="12" s="1"/>
  <c r="H7" i="45" s="1"/>
  <c r="C9" i="26"/>
  <c r="D56" i="8"/>
  <c r="D55" i="8" s="1"/>
  <c r="C7" i="45" s="1"/>
  <c r="D36" i="26"/>
  <c r="D35" i="26" s="1"/>
  <c r="D41" i="8"/>
  <c r="D34" i="15"/>
  <c r="D35" i="37"/>
  <c r="D35" i="12"/>
  <c r="D55" i="26"/>
  <c r="D54" i="26" s="1"/>
  <c r="N8" i="45"/>
  <c r="D62" i="37"/>
  <c r="D61" i="37" s="1"/>
  <c r="N7" i="45" s="1"/>
  <c r="D40" i="5"/>
  <c r="D34" i="5" s="1"/>
  <c r="D44" i="15"/>
  <c r="D37" i="28"/>
  <c r="D34" i="28" s="1"/>
  <c r="D29" i="10"/>
  <c r="D10" i="10" s="1"/>
  <c r="D75" i="33"/>
  <c r="D74" i="33" s="1"/>
  <c r="O7" i="45" s="1"/>
  <c r="D81" i="10"/>
  <c r="D25" i="9"/>
  <c r="D11" i="9" s="1"/>
  <c r="C8" i="27"/>
  <c r="D20" i="37"/>
  <c r="C8" i="12"/>
  <c r="D54" i="15"/>
  <c r="D53" i="15" s="1"/>
  <c r="J7" i="45" s="1"/>
  <c r="D59" i="14"/>
  <c r="P8" i="45" s="1"/>
  <c r="D67" i="33"/>
  <c r="D66" i="33" s="1"/>
  <c r="O8" i="45" s="1"/>
  <c r="D10" i="37" l="1"/>
  <c r="C8" i="6"/>
  <c r="C45" i="6"/>
  <c r="D11" i="29"/>
  <c r="D10" i="29" s="1"/>
  <c r="D9" i="29" s="1"/>
  <c r="D34" i="3"/>
  <c r="D10" i="3"/>
  <c r="D43" i="26"/>
  <c r="Q8" i="45" s="1"/>
  <c r="D34" i="37"/>
  <c r="M12" i="45"/>
  <c r="C8" i="3"/>
  <c r="D10" i="9"/>
  <c r="L6" i="45" s="1"/>
  <c r="D9" i="33"/>
  <c r="D67" i="3"/>
  <c r="D55" i="3" s="1"/>
  <c r="K10" i="45" s="1"/>
  <c r="V10" i="45" s="1"/>
  <c r="D9" i="2"/>
  <c r="D34" i="14"/>
  <c r="C9" i="29"/>
  <c r="D34" i="32"/>
  <c r="D34" i="7"/>
  <c r="D47" i="3"/>
  <c r="D46" i="3" s="1"/>
  <c r="D9" i="3" s="1"/>
  <c r="K6" i="45" s="1"/>
  <c r="D34" i="27"/>
  <c r="D98" i="10"/>
  <c r="D97" i="10" s="1"/>
  <c r="I7" i="45" s="1"/>
  <c r="D34" i="12"/>
  <c r="D10" i="26"/>
  <c r="D9" i="25"/>
  <c r="D49" i="1"/>
  <c r="D35" i="1" s="1"/>
  <c r="D9" i="1" s="1"/>
  <c r="D83" i="1"/>
  <c r="D82" i="1" s="1"/>
  <c r="D81" i="1" s="1"/>
  <c r="B7" i="45" s="1"/>
  <c r="D56" i="5"/>
  <c r="D55" i="5" s="1"/>
  <c r="D59" i="9"/>
  <c r="L8" i="45" s="1"/>
  <c r="D60" i="9"/>
  <c r="D54" i="37"/>
  <c r="D60" i="10"/>
  <c r="D59" i="10" s="1"/>
  <c r="D34" i="10"/>
  <c r="D39" i="15"/>
  <c r="D33" i="15" s="1"/>
  <c r="D46" i="5"/>
  <c r="D37" i="6"/>
  <c r="D34" i="6" s="1"/>
  <c r="D9" i="6" s="1"/>
  <c r="D6" i="45" s="1"/>
  <c r="D12" i="45" s="1"/>
  <c r="C9" i="8"/>
  <c r="D38" i="8"/>
  <c r="D35" i="8" s="1"/>
  <c r="D10" i="8" s="1"/>
  <c r="D9" i="32" l="1"/>
  <c r="G6" i="45" s="1"/>
  <c r="G12" i="45" s="1"/>
  <c r="K12" i="45"/>
  <c r="C48" i="39"/>
  <c r="C45" i="39"/>
  <c r="C44" i="39"/>
  <c r="V7" i="45"/>
  <c r="D9" i="26"/>
  <c r="D9" i="8"/>
  <c r="C6" i="45"/>
  <c r="C12" i="45" s="1"/>
  <c r="D8" i="1"/>
  <c r="B6" i="45"/>
  <c r="D9" i="27"/>
  <c r="D8" i="27" s="1"/>
  <c r="D8" i="33"/>
  <c r="O6" i="45"/>
  <c r="O12" i="45" s="1"/>
  <c r="L12" i="45"/>
  <c r="D9" i="12"/>
  <c r="D9" i="5"/>
  <c r="O16" i="5" s="1"/>
  <c r="D8" i="6"/>
  <c r="D9" i="9"/>
  <c r="D9" i="7"/>
  <c r="R6" i="45" s="1"/>
  <c r="R12" i="45" s="1"/>
  <c r="D9" i="14"/>
  <c r="D9" i="37"/>
  <c r="D8" i="3"/>
  <c r="D9" i="10"/>
  <c r="D8" i="15"/>
  <c r="D8" i="32" l="1"/>
  <c r="C42" i="39"/>
  <c r="C30" i="39"/>
  <c r="C28" i="39"/>
  <c r="C46" i="39"/>
  <c r="C43" i="39"/>
  <c r="C26" i="39"/>
  <c r="C49" i="39"/>
  <c r="C25" i="39"/>
  <c r="D7" i="15"/>
  <c r="J6" i="45"/>
  <c r="J12" i="45" s="1"/>
  <c r="D8" i="10"/>
  <c r="I8" i="45"/>
  <c r="I12" i="45" s="1"/>
  <c r="D8" i="37"/>
  <c r="N6" i="45"/>
  <c r="N12" i="45" s="1"/>
  <c r="D8" i="14"/>
  <c r="P6" i="45"/>
  <c r="P12" i="45" s="1"/>
  <c r="D8" i="5"/>
  <c r="F8" i="45"/>
  <c r="F12" i="45" s="1"/>
  <c r="D8" i="12"/>
  <c r="H8" i="45"/>
  <c r="H12" i="45" s="1"/>
  <c r="B12" i="45"/>
  <c r="D9" i="13"/>
  <c r="D8" i="7"/>
  <c r="D9" i="28"/>
  <c r="N8" i="5" l="1"/>
  <c r="O8" i="5"/>
  <c r="O71" i="5"/>
  <c r="D8" i="28"/>
  <c r="V17" i="45" s="1"/>
  <c r="Q6" i="45"/>
  <c r="C34" i="39"/>
  <c r="C27" i="39"/>
  <c r="C32" i="39"/>
  <c r="C47" i="39"/>
  <c r="C40" i="39"/>
  <c r="C39" i="39"/>
  <c r="C37" i="39"/>
  <c r="C36" i="39"/>
  <c r="D8" i="13"/>
  <c r="E8" i="45"/>
  <c r="C31" i="39" l="1"/>
  <c r="C41" i="39"/>
  <c r="Q13" i="45" s="1"/>
  <c r="V13" i="45" s="1"/>
  <c r="E12" i="45"/>
  <c r="V8" i="45"/>
  <c r="Q12" i="45"/>
  <c r="V6" i="45"/>
  <c r="Q15" i="45" l="1"/>
  <c r="C50" i="39"/>
  <c r="V12" i="45"/>
  <c r="V15" i="45" l="1"/>
  <c r="V19" i="45"/>
  <c r="W9" i="45"/>
  <c r="W11" i="45"/>
  <c r="W7" i="45"/>
  <c r="W10" i="45"/>
  <c r="W8" i="45"/>
  <c r="W6" i="45"/>
  <c r="W12" i="45" l="1"/>
  <c r="C11" i="39" l="1"/>
  <c r="C13" i="39"/>
  <c r="C7" i="39"/>
  <c r="C8" i="39" l="1"/>
  <c r="C6" i="39"/>
  <c r="C12" i="39"/>
  <c r="C5" i="39" l="1"/>
  <c r="C16" i="39" l="1"/>
  <c r="C52" i="39" l="1"/>
</calcChain>
</file>

<file path=xl/comments1.xml><?xml version="1.0" encoding="utf-8"?>
<comments xmlns="http://schemas.openxmlformats.org/spreadsheetml/2006/main">
  <authors>
    <author>Usuario</author>
  </authors>
  <commentList>
    <comment ref="C55" authorId="0" shapeId="0">
      <text>
        <r>
          <rPr>
            <sz val="8"/>
            <color indexed="81"/>
            <rFont val="Tahoma"/>
            <family val="2"/>
          </rPr>
          <t xml:space="preserve">Mantenimiento del Ascensor $ 12,500.00 USD.
</t>
        </r>
      </text>
    </comment>
    <comment ref="C56" authorId="0" shapeId="0">
      <text>
        <r>
          <rPr>
            <sz val="8"/>
            <color indexed="81"/>
            <rFont val="Tahoma"/>
            <family val="2"/>
          </rPr>
          <t xml:space="preserve">$ 10,000.00 USD ( VEHICULOS HIGIENE)
</t>
        </r>
      </text>
    </comment>
    <comment ref="C85" authorId="0" shapeId="0">
      <text>
        <r>
          <rPr>
            <sz val="8"/>
            <color indexed="81"/>
            <rFont val="Tahoma"/>
            <family val="2"/>
          </rPr>
          <t xml:space="preserve">Adquisición de Alarmas y Camaras $ 20,000 USD; Equipos de Amplificación $ 7,500 USD.
</t>
        </r>
      </text>
    </comment>
    <comment ref="C86" authorId="0" shapeId="0">
      <text>
        <r>
          <rPr>
            <sz val="8"/>
            <color indexed="81"/>
            <rFont val="Tahoma"/>
            <family val="2"/>
          </rPr>
          <t xml:space="preserve">Vehiculo Talento Humano
</t>
        </r>
      </text>
    </comment>
    <comment ref="C87" authorId="0" shapeId="0">
      <text>
        <r>
          <rPr>
            <sz val="8"/>
            <color indexed="81"/>
            <rFont val="Tahoma"/>
            <family val="2"/>
          </rPr>
          <t xml:space="preserve">Según solicitud constante en POA del Departamento de Sistemas
</t>
        </r>
      </text>
    </comment>
  </commentList>
</comments>
</file>

<file path=xl/comments10.xml><?xml version="1.0" encoding="utf-8"?>
<comments xmlns="http://schemas.openxmlformats.org/spreadsheetml/2006/main">
  <authors>
    <author>Usuario</author>
  </authors>
  <commentList>
    <comment ref="C59" authorId="0" shapeId="0">
      <text>
        <r>
          <rPr>
            <sz val="8"/>
            <color indexed="81"/>
            <rFont val="Tahoma"/>
            <family val="2"/>
          </rPr>
          <t xml:space="preserve">Adqusisición de DRON para Catastros.
</t>
        </r>
      </text>
    </comment>
  </commentList>
</comments>
</file>

<file path=xl/comments11.xml><?xml version="1.0" encoding="utf-8"?>
<comments xmlns="http://schemas.openxmlformats.org/spreadsheetml/2006/main">
  <authors>
    <author>Usuario</author>
  </authors>
  <commentList>
    <comment ref="C48" authorId="0" shapeId="0">
      <text>
        <r>
          <rPr>
            <sz val="8"/>
            <color indexed="81"/>
            <rFont val="Tahoma"/>
            <family val="2"/>
          </rPr>
          <t xml:space="preserve">$ 8.000 USD TRABAJADORES
SEMERTAZ.
</t>
        </r>
      </text>
    </comment>
    <comment ref="C60" authorId="0" shapeId="0">
      <text>
        <r>
          <rPr>
            <sz val="8"/>
            <color indexed="81"/>
            <rFont val="Tahoma"/>
            <family val="2"/>
          </rPr>
          <t xml:space="preserve">Adqusición de Pintura
para Señalización de Sistema Tarifado.
</t>
        </r>
      </text>
    </comment>
    <comment ref="C65" authorId="0" shapeId="0">
      <text>
        <r>
          <rPr>
            <sz val="8"/>
            <color indexed="81"/>
            <rFont val="Tahoma"/>
            <family val="2"/>
          </rPr>
          <t xml:space="preserve">Adquisición de Motocicleta
</t>
        </r>
      </text>
    </comment>
  </commentList>
</comments>
</file>

<file path=xl/comments12.xml><?xml version="1.0" encoding="utf-8"?>
<comments xmlns="http://schemas.openxmlformats.org/spreadsheetml/2006/main">
  <authors>
    <author>Usuario</author>
  </authors>
  <commentList>
    <comment ref="C28" authorId="0" shape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se reduce en la quinta reforma el valor de 8,000</t>
        </r>
      </text>
    </comment>
  </commentList>
</comments>
</file>

<file path=xl/comments13.xml><?xml version="1.0" encoding="utf-8"?>
<comments xmlns="http://schemas.openxmlformats.org/spreadsheetml/2006/main">
  <authors>
    <author>Usuario</author>
  </authors>
  <commentList>
    <comment ref="C26" authorId="0" shapeId="0">
      <text>
        <r>
          <rPr>
            <sz val="8"/>
            <color indexed="81"/>
            <rFont val="Tahoma"/>
            <family val="2"/>
          </rPr>
          <t xml:space="preserve">$ 30,000.00 USD ( Horas Extras); $ 40,000.00 USD (Horas Nocturnas)
</t>
        </r>
      </text>
    </comment>
    <comment ref="C38" authorId="0" shapeId="0">
      <text>
        <r>
          <rPr>
            <sz val="8"/>
            <color indexed="81"/>
            <rFont val="Tahoma"/>
            <family val="2"/>
          </rPr>
          <t xml:space="preserve">$ 7.800
 Uniformes y Equipos de seguridad
</t>
        </r>
      </text>
    </comment>
  </commentList>
</comments>
</file>

<file path=xl/comments14.xml><?xml version="1.0" encoding="utf-8"?>
<comments xmlns="http://schemas.openxmlformats.org/spreadsheetml/2006/main">
  <authors>
    <author>Usuario</author>
    <author>Empleado</author>
  </authors>
  <commentList>
    <comment ref="C27" authorId="0" shapeId="0">
      <text>
        <r>
          <rPr>
            <sz val="8"/>
            <color indexed="81"/>
            <rFont val="Tahoma"/>
            <family val="2"/>
          </rPr>
          <t xml:space="preserve">$ 20,000.00 USD ( Horas Extras); $ 20,000.00 ( Horas Nocturnas)
</t>
        </r>
      </text>
    </comment>
    <comment ref="C37" authorId="0" shapeId="0">
      <text>
        <r>
          <rPr>
            <sz val="8"/>
            <color indexed="81"/>
            <rFont val="Tahoma"/>
            <family val="2"/>
          </rPr>
          <t xml:space="preserve">$ 4,000 Uniformes y Equipos de Seguridad
</t>
        </r>
      </text>
    </comment>
    <comment ref="C57" authorId="0" shapeId="0">
      <text>
        <r>
          <rPr>
            <sz val="8"/>
            <color indexed="81"/>
            <rFont val="Tahoma"/>
            <family val="2"/>
          </rPr>
          <t xml:space="preserve">2 Cajas Compactadoras $ 30,000.00 ; 1 Sistema de Refrigeración $ 5,000.00
</t>
        </r>
      </text>
    </comment>
    <comment ref="C58" authorId="0" shapeId="0">
      <text>
        <r>
          <rPr>
            <sz val="8"/>
            <color indexed="81"/>
            <rFont val="Tahoma"/>
            <family val="2"/>
          </rPr>
          <t xml:space="preserve">Adquisición de dos Chasis
Remplazo de 2 Vehiculos $ 180,000.00 ; 1 Chasis Sistema de Refrigeración $ 80,000.00
</t>
        </r>
      </text>
    </comment>
    <comment ref="C63" authorId="1" shapeId="0">
      <text>
        <r>
          <rPr>
            <b/>
            <sz val="10"/>
            <color indexed="81"/>
            <rFont val="Tahoma"/>
            <family val="2"/>
          </rPr>
          <t>Empleado:</t>
        </r>
        <r>
          <rPr>
            <sz val="10"/>
            <color indexed="81"/>
            <rFont val="Tahoma"/>
            <family val="2"/>
          </rPr>
          <t xml:space="preserve">
50000 servicios de la deuda con la banca privada por 10 meses a 5000</t>
        </r>
      </text>
    </comment>
  </commentList>
</comments>
</file>

<file path=xl/comments15.xml><?xml version="1.0" encoding="utf-8"?>
<comments xmlns="http://schemas.openxmlformats.org/spreadsheetml/2006/main">
  <authors>
    <author>Usuario</author>
  </authors>
  <commentList>
    <comment ref="C17" authorId="0" shapeId="0">
      <text>
        <r>
          <rPr>
            <sz val="8"/>
            <color indexed="81"/>
            <rFont val="Tahoma"/>
            <family val="2"/>
          </rPr>
          <t xml:space="preserve">$ 3,600  Uniformes y Equipos de Seguridad
</t>
        </r>
      </text>
    </comment>
  </commentList>
</comments>
</file>

<file path=xl/comments16.xml><?xml version="1.0" encoding="utf-8"?>
<comments xmlns="http://schemas.openxmlformats.org/spreadsheetml/2006/main">
  <authors>
    <author>Usuario</author>
  </authors>
  <commentList>
    <comment ref="C52" authorId="0" shapeId="0">
      <text>
        <r>
          <rPr>
            <b/>
            <sz val="8"/>
            <color indexed="81"/>
            <rFont val="Tahoma"/>
            <family val="2"/>
          </rPr>
          <t xml:space="preserve">Conos para trafico.
</t>
        </r>
      </text>
    </comment>
  </commentList>
</comments>
</file>

<file path=xl/comments17.xml><?xml version="1.0" encoding="utf-8"?>
<comments xmlns="http://schemas.openxmlformats.org/spreadsheetml/2006/main">
  <authors>
    <author>Presupuesto</author>
  </authors>
  <commentList>
    <comment ref="C44" authorId="0" shapeId="0">
      <text>
        <r>
          <rPr>
            <b/>
            <sz val="8"/>
            <color indexed="81"/>
            <rFont val="Tahoma"/>
            <family val="2"/>
          </rPr>
          <t>Presupuesto:</t>
        </r>
        <r>
          <rPr>
            <sz val="8"/>
            <color indexed="81"/>
            <rFont val="Tahoma"/>
            <family val="2"/>
          </rPr>
          <t xml:space="preserve">
d.administrativa
</t>
        </r>
      </text>
    </comment>
  </commentList>
</comments>
</file>

<file path=xl/comments18.xml><?xml version="1.0" encoding="utf-8"?>
<comments xmlns="http://schemas.openxmlformats.org/spreadsheetml/2006/main">
  <authors>
    <author>Usuario</author>
  </authors>
  <commentList>
    <comment ref="D16" authorId="0" shapeId="0">
      <text>
        <r>
          <rPr>
            <sz val="8"/>
            <color indexed="81"/>
            <rFont val="Calibri"/>
            <family val="2"/>
            <scheme val="minor"/>
          </rPr>
          <t>Proyecto Discapacidad Visual: $. 16.911,79
Proyecto para Discapacidades (FUNDEHU): 25.000</t>
        </r>
      </text>
    </comment>
  </commentList>
</comments>
</file>

<file path=xl/comments2.xml><?xml version="1.0" encoding="utf-8"?>
<comments xmlns="http://schemas.openxmlformats.org/spreadsheetml/2006/main">
  <authors>
    <author>Usuario</author>
  </authors>
  <commentList>
    <comment ref="C39" authorId="0" shapeId="0">
      <text>
        <r>
          <rPr>
            <sz val="8"/>
            <color indexed="81"/>
            <rFont val="Tahoma"/>
            <family val="2"/>
          </rPr>
          <t>$ 9,100.00 Recaudación ( Especies Valoradas); $ 2,000 Coactivas</t>
        </r>
      </text>
    </comment>
    <comment ref="C58" authorId="0" shapeId="0">
      <text>
        <r>
          <rPr>
            <sz val="8"/>
            <color indexed="81"/>
            <rFont val="Tahoma"/>
            <family val="2"/>
          </rPr>
          <t xml:space="preserve">Archivadores Recaudación $ 800.00 USD; Mobiliario Tesoreria $ 2.200 USD
</t>
        </r>
      </text>
    </comment>
    <comment ref="C59" authorId="0" shapeId="0">
      <text>
        <r>
          <rPr>
            <sz val="8"/>
            <color indexed="81"/>
            <rFont val="Tahoma"/>
            <family val="2"/>
          </rPr>
          <t xml:space="preserve">Máquina detectora de billetes falsos (Recaudaciones)
</t>
        </r>
      </text>
    </comment>
  </commentList>
</comments>
</file>

<file path=xl/comments3.xml><?xml version="1.0" encoding="utf-8"?>
<comments xmlns="http://schemas.openxmlformats.org/spreadsheetml/2006/main">
  <authors>
    <author>Usuario</author>
  </authors>
  <commentList>
    <comment ref="C42" authorId="0" shapeId="0">
      <text>
        <r>
          <rPr>
            <sz val="8"/>
            <color indexed="81"/>
            <rFont val="Tahoma"/>
            <family val="2"/>
          </rPr>
          <t xml:space="preserve">$ 25,386.06 ( Servicio de Limpieza) ; $ 1,400.00 ( Servicio de Fumigación)
</t>
        </r>
      </text>
    </comment>
    <comment ref="C71" authorId="0" shapeId="0">
      <text>
        <r>
          <rPr>
            <sz val="8"/>
            <color indexed="81"/>
            <rFont val="Tahoma"/>
            <family val="2"/>
          </rPr>
          <t xml:space="preserve">Instalación de Camaras HD.
</t>
        </r>
      </text>
    </comment>
  </commentList>
</comments>
</file>

<file path=xl/comments4.xml><?xml version="1.0" encoding="utf-8"?>
<comments xmlns="http://schemas.openxmlformats.org/spreadsheetml/2006/main">
  <authors>
    <author>Usuario</author>
  </authors>
  <commentList>
    <comment ref="C46" authorId="0" shapeId="0">
      <text>
        <r>
          <rPr>
            <sz val="8"/>
            <color indexed="81"/>
            <rFont val="Tahoma"/>
            <family val="2"/>
          </rPr>
          <t xml:space="preserve">$ 2,500.00 ( Servicio de Fumigación)
</t>
        </r>
      </text>
    </comment>
  </commentList>
</comments>
</file>

<file path=xl/comments5.xml><?xml version="1.0" encoding="utf-8"?>
<comments xmlns="http://schemas.openxmlformats.org/spreadsheetml/2006/main">
  <authors>
    <author>Usuario</author>
    <author>Presupuesto</author>
  </authors>
  <commentList>
    <comment ref="C53" authorId="0" shapeId="0">
      <text>
        <r>
          <rPr>
            <sz val="8"/>
            <color indexed="81"/>
            <rFont val="Tahoma"/>
            <family val="2"/>
          </rPr>
          <t xml:space="preserve">200 USD para mascarillas protección manipulación de archivo.
</t>
        </r>
      </text>
    </comment>
    <comment ref="C149" authorId="1" shapeId="0">
      <text>
        <r>
          <rPr>
            <b/>
            <sz val="8"/>
            <color indexed="81"/>
            <rFont val="Tahoma"/>
            <family val="2"/>
          </rPr>
          <t>Presupuesto:</t>
        </r>
        <r>
          <rPr>
            <sz val="8"/>
            <color indexed="81"/>
            <rFont val="Tahoma"/>
            <family val="2"/>
          </rPr>
          <t xml:space="preserve">
6.000 para trabajador eventual
</t>
        </r>
      </text>
    </comment>
    <comment ref="F154" authorId="0" shape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EL PAGO DE LA PLANILLA NO. 3 Y 4 , DE LA OBRA INSTRUCION DEL MURAL TIERRA KAN ARI, A CARGO DEL SR. JORGE MOGROVEJO CALLE. Dopm 17, se ajusta por el mercado sucre 10,705.20 mediante suscrito 53</t>
        </r>
      </text>
    </comment>
  </commentList>
</comments>
</file>

<file path=xl/comments6.xml><?xml version="1.0" encoding="utf-8"?>
<comments xmlns="http://schemas.openxmlformats.org/spreadsheetml/2006/main">
  <authors>
    <author>Usuario</author>
  </authors>
  <commentList>
    <comment ref="C62" authorId="0" shapeId="0">
      <text>
        <r>
          <rPr>
            <b/>
            <sz val="8"/>
            <color indexed="81"/>
            <rFont val="Tahoma"/>
            <family val="2"/>
          </rPr>
          <t>$ 24,401.92 corresponde al Fotografo y Promotor Cultural</t>
        </r>
      </text>
    </comment>
  </commentList>
</comments>
</file>

<file path=xl/comments7.xml><?xml version="1.0" encoding="utf-8"?>
<comments xmlns="http://schemas.openxmlformats.org/spreadsheetml/2006/main">
  <authors>
    <author>Usuario</author>
  </authors>
  <commentList>
    <comment ref="C129" authorId="0" shapeId="0">
      <text>
        <r>
          <rPr>
            <sz val="8"/>
            <color indexed="81"/>
            <rFont val="Tahoma"/>
            <family val="2"/>
          </rPr>
          <t xml:space="preserve">$ 10,000 USD Eventos Varios
</t>
        </r>
      </text>
    </comment>
    <comment ref="C131" authorId="0" shapeId="0">
      <text>
        <r>
          <rPr>
            <b/>
            <sz val="8"/>
            <color indexed="81"/>
            <rFont val="Tahoma"/>
            <family val="2"/>
          </rPr>
          <t xml:space="preserve">Pruebas Antidopin Cotemuaz
</t>
        </r>
      </text>
    </comment>
    <comment ref="C141" authorId="0" shapeId="0">
      <text>
        <r>
          <rPr>
            <sz val="8"/>
            <color indexed="81"/>
            <rFont val="Tahoma"/>
            <family val="2"/>
          </rPr>
          <t xml:space="preserve">Señaletica $ 2,500 USD
</t>
        </r>
      </text>
    </comment>
    <comment ref="C146" authorId="0" shapeId="0">
      <text>
        <r>
          <rPr>
            <sz val="8"/>
            <color indexed="81"/>
            <rFont val="Tahoma"/>
            <family val="2"/>
          </rPr>
          <t xml:space="preserve">Varios Proyectos de Gestión
</t>
        </r>
      </text>
    </comment>
    <comment ref="C175" authorId="0" shapeId="0">
      <text>
        <r>
          <rPr>
            <sz val="8"/>
            <color indexed="81"/>
            <rFont val="Tahoma"/>
            <family val="2"/>
          </rPr>
          <t xml:space="preserve">$ 3.500 USD Maquina de Café.
</t>
        </r>
      </text>
    </comment>
  </commentList>
</comments>
</file>

<file path=xl/comments8.xml><?xml version="1.0" encoding="utf-8"?>
<comments xmlns="http://schemas.openxmlformats.org/spreadsheetml/2006/main">
  <authors>
    <author>Usuario</author>
  </authors>
  <commentList>
    <comment ref="C47" authorId="0" shapeId="0">
      <text>
        <r>
          <rPr>
            <sz val="8"/>
            <color indexed="81"/>
            <rFont val="Tahoma"/>
            <family val="2"/>
          </rPr>
          <t xml:space="preserve">Subsidio para pasajes de Grupos Vulnerables.
</t>
        </r>
      </text>
    </comment>
  </commentList>
</comments>
</file>

<file path=xl/comments9.xml><?xml version="1.0" encoding="utf-8"?>
<comments xmlns="http://schemas.openxmlformats.org/spreadsheetml/2006/main">
  <authors>
    <author>Usuario</author>
  </authors>
  <commentList>
    <comment ref="C47" authorId="0" shapeId="0">
      <text>
        <r>
          <rPr>
            <sz val="8"/>
            <color indexed="81"/>
            <rFont val="Tahoma"/>
            <family val="2"/>
          </rPr>
          <t xml:space="preserve">Kits de ayuda humanitaria
</t>
        </r>
      </text>
    </comment>
    <comment ref="C54" authorId="0" shapeId="0">
      <text>
        <r>
          <rPr>
            <b/>
            <sz val="8"/>
            <color indexed="81"/>
            <rFont val="Tahoma"/>
            <family val="2"/>
          </rPr>
          <t>Fibra Optica Sistema de Monitoreo y WI-FI; Cpacidad de Internet</t>
        </r>
      </text>
    </comment>
    <comment ref="C58" authorId="0" shapeId="0">
      <text>
        <r>
          <rPr>
            <sz val="8"/>
            <color indexed="81"/>
            <rFont val="Tahoma"/>
            <family val="2"/>
          </rPr>
          <t xml:space="preserve">Instalación de Nuevas Camaras
</t>
        </r>
      </text>
    </comment>
  </commentList>
</comments>
</file>

<file path=xl/sharedStrings.xml><?xml version="1.0" encoding="utf-8"?>
<sst xmlns="http://schemas.openxmlformats.org/spreadsheetml/2006/main" count="3355" uniqueCount="961">
  <si>
    <t>7.3.01.05</t>
  </si>
  <si>
    <t xml:space="preserve">Maquinarias y Equipos </t>
  </si>
  <si>
    <t>DESARROLLO SOCIAL</t>
  </si>
  <si>
    <t>7.3.01</t>
  </si>
  <si>
    <t>SERVICIOS GENERALES</t>
  </si>
  <si>
    <t>PARTIDA</t>
  </si>
  <si>
    <t>DESCRIPCION</t>
  </si>
  <si>
    <t>TOTAL</t>
  </si>
  <si>
    <t>GASTOS CORRIENTES</t>
  </si>
  <si>
    <t>GASTOS EN PERSONAL</t>
  </si>
  <si>
    <t>5.1.01</t>
  </si>
  <si>
    <t>REMUNERACIONES BASICAS</t>
  </si>
  <si>
    <t>5.1.06</t>
  </si>
  <si>
    <t>APORTES PATRONALES A LA SEGURIDAD SOCIAL</t>
  </si>
  <si>
    <t>BIENES Y SERVICIOS DE CONSUMO</t>
  </si>
  <si>
    <t>5.3.01</t>
  </si>
  <si>
    <t>SERVICIOS BASICOS</t>
  </si>
  <si>
    <t>5.3.01.04</t>
  </si>
  <si>
    <t>Energía eléctrica</t>
  </si>
  <si>
    <t>5.3.01.05</t>
  </si>
  <si>
    <t>Telecomunicaciones</t>
  </si>
  <si>
    <t>5.3.01.06</t>
  </si>
  <si>
    <t>Servicio de correo</t>
  </si>
  <si>
    <t>5.3.02</t>
  </si>
  <si>
    <t>5.3.02.02</t>
  </si>
  <si>
    <t>Fletes y maniobras</t>
  </si>
  <si>
    <t>5.3.02.04</t>
  </si>
  <si>
    <t>Impresión, reproducción y publicación</t>
  </si>
  <si>
    <t>5.3.02.06</t>
  </si>
  <si>
    <t>5.3.02.07</t>
  </si>
  <si>
    <t>Difusión, información y publicidad</t>
  </si>
  <si>
    <t>5.3.02.99</t>
  </si>
  <si>
    <t>Otros servicios</t>
  </si>
  <si>
    <t>5.3.03</t>
  </si>
  <si>
    <t>TRASLADOS, INSTALACIONES,VIATICOS Y SUBSISTENCIAS</t>
  </si>
  <si>
    <t>5.3.03.01</t>
  </si>
  <si>
    <t>Pasajes al interior</t>
  </si>
  <si>
    <t>5.3.03.03</t>
  </si>
  <si>
    <t>Viáticos y subsistencias en el interior</t>
  </si>
  <si>
    <t>5.3.04</t>
  </si>
  <si>
    <t>INSTALACION, MANTENIMIENTO Y REPARACION</t>
  </si>
  <si>
    <t>5.3.04.03</t>
  </si>
  <si>
    <t>Mobiliarios</t>
  </si>
  <si>
    <t>5.3.04.04</t>
  </si>
  <si>
    <t>Maquinarias y equipos</t>
  </si>
  <si>
    <t>5.3.04.05</t>
  </si>
  <si>
    <t>5.3.06</t>
  </si>
  <si>
    <t>CONTRATACIONES DE ESTUDIOS E INVESTIGACIONES</t>
  </si>
  <si>
    <t>Estudio y diseño de proyectos</t>
  </si>
  <si>
    <t>5.3.06.03</t>
  </si>
  <si>
    <t>Servicio de capacitación</t>
  </si>
  <si>
    <t>5.3.07</t>
  </si>
  <si>
    <t>GASTOS EN INFORMATICA</t>
  </si>
  <si>
    <t>5.3.07.04</t>
  </si>
  <si>
    <t>Mantenimiento de sistemas informáticos</t>
  </si>
  <si>
    <t>5.3.08</t>
  </si>
  <si>
    <t>BIENES  DE USO Y CONSUMO CORRIENTE</t>
  </si>
  <si>
    <t>5.3.08.01</t>
  </si>
  <si>
    <t>Alimentos y bebidas</t>
  </si>
  <si>
    <t>5.3.08.02</t>
  </si>
  <si>
    <t>Vestuario,lencería y prendas de protección</t>
  </si>
  <si>
    <t>5.3.08.03</t>
  </si>
  <si>
    <t>Combustibles y lubricantes</t>
  </si>
  <si>
    <t>5.3.08.04</t>
  </si>
  <si>
    <t>Materiales de oficina</t>
  </si>
  <si>
    <t>5.3.08.05</t>
  </si>
  <si>
    <t>Materiales de aseo</t>
  </si>
  <si>
    <t>5.3.08.07</t>
  </si>
  <si>
    <t>Materiales de impresión,fotografía,reproducción y publicaciones</t>
  </si>
  <si>
    <t>OTROS GASTOS</t>
  </si>
  <si>
    <t>5.7.02</t>
  </si>
  <si>
    <t>SEGUROS, COSTOS FINANCIEROS Y OTROS GASTOS</t>
  </si>
  <si>
    <t>5.7.02.06</t>
  </si>
  <si>
    <t>Costas judiciales</t>
  </si>
  <si>
    <t>GASTOS DE CAPITAL</t>
  </si>
  <si>
    <t>ACTIVOS DE LARGA DURACION</t>
  </si>
  <si>
    <t>8.4.01</t>
  </si>
  <si>
    <t>BIENES MUEBLES</t>
  </si>
  <si>
    <t>8.4.01.07</t>
  </si>
  <si>
    <t>8.4.01.09</t>
  </si>
  <si>
    <t>Libros y colecciones</t>
  </si>
  <si>
    <t>ADMINISTRACION FINANCIERA</t>
  </si>
  <si>
    <t>GASTOS FINANCIEROS</t>
  </si>
  <si>
    <t>5.6.02</t>
  </si>
  <si>
    <t>INTERESES DE LA DEUDA PUBLICA INTERNA</t>
  </si>
  <si>
    <t>5.6.02.01</t>
  </si>
  <si>
    <t>GASTOS DE INVERSION</t>
  </si>
  <si>
    <t>OBRAS PUBLICAS</t>
  </si>
  <si>
    <t>7.5.01</t>
  </si>
  <si>
    <t>OBRAS DE INFRESTRUCTURA</t>
  </si>
  <si>
    <t>TRANSFERENCIAS CORRIENTES</t>
  </si>
  <si>
    <t>5.8.01</t>
  </si>
  <si>
    <t>TRANSFERENCIAS CORRIENTES AL SECTOR PUBLICO</t>
  </si>
  <si>
    <t>Cuentas o fondos especiales</t>
  </si>
  <si>
    <t>5.3.04.06</t>
  </si>
  <si>
    <t>Herramientas</t>
  </si>
  <si>
    <t>HIGIENE AMBIENTAL</t>
  </si>
  <si>
    <t>SERVICIOS SOCIALES</t>
  </si>
  <si>
    <t>OTROS SERVICIOS COMUNALES</t>
  </si>
  <si>
    <t>OBRAS DE INFRAESTRUCTURA</t>
  </si>
  <si>
    <t>7.5.01.04</t>
  </si>
  <si>
    <t>De Urbanización y Embellecimiento</t>
  </si>
  <si>
    <t>7.5.01.05</t>
  </si>
  <si>
    <t>7.5.01.99</t>
  </si>
  <si>
    <t>Otras Obras de Infraestructura</t>
  </si>
  <si>
    <t>7.5.01.99.001</t>
  </si>
  <si>
    <t>8.4.02</t>
  </si>
  <si>
    <t>SERVICIOS INCLASIFICABLES</t>
  </si>
  <si>
    <t>5.1.06.03</t>
  </si>
  <si>
    <t>5.3.05</t>
  </si>
  <si>
    <t>ARRENDAMIENTO DE BIENES</t>
  </si>
  <si>
    <t>5.3.05.02</t>
  </si>
  <si>
    <t>Sector Público Financiero</t>
  </si>
  <si>
    <t>SEGUROS,COSTOS FINANCIEROS Y OTROS GASTOS</t>
  </si>
  <si>
    <t>5.7.02.01</t>
  </si>
  <si>
    <t>Seguros</t>
  </si>
  <si>
    <t>5.7.02.03</t>
  </si>
  <si>
    <t>Comisiones Bancarias</t>
  </si>
  <si>
    <t>TRANSFERENCIAS CORRINTES ALSECTOR PUBLICO</t>
  </si>
  <si>
    <t>5.8.01.01</t>
  </si>
  <si>
    <t>Entidades Descentralizadas y Autónomas</t>
  </si>
  <si>
    <t>5.8.01.01.002</t>
  </si>
  <si>
    <t>5.8.02</t>
  </si>
  <si>
    <t>5.8.02.04</t>
  </si>
  <si>
    <t>Al sector Privado no financiero</t>
  </si>
  <si>
    <t>5.8.02.04.001</t>
  </si>
  <si>
    <t>APLICACIÓN DEL FINANCIAMIENTO</t>
  </si>
  <si>
    <t>AMORTIZACION DE LA DEUDA PUBLICA INTERNA</t>
  </si>
  <si>
    <t>9.6.02</t>
  </si>
  <si>
    <t>DEUDA INTERNA</t>
  </si>
  <si>
    <t>9.6.02.01</t>
  </si>
  <si>
    <t>Al sector público financiero</t>
  </si>
  <si>
    <t>9.6.02.01.001</t>
  </si>
  <si>
    <t>DEUDA FLOTANTE</t>
  </si>
  <si>
    <t>9.6.05.01.001</t>
  </si>
  <si>
    <t>Deuda flotante a empleados y trabajadores</t>
  </si>
  <si>
    <t>7.5.01.99.002</t>
  </si>
  <si>
    <t>7.5.01.99.003</t>
  </si>
  <si>
    <t>7.5.01.99.004</t>
  </si>
  <si>
    <t>5.6.02.01.001</t>
  </si>
  <si>
    <t>AMORTIZACION DE LA DEUDA PUBLICA</t>
  </si>
  <si>
    <t>7.3.06</t>
  </si>
  <si>
    <t>CONTRATACION DE ESTUDIOS E INVESTIGACIONES</t>
  </si>
  <si>
    <t>7.3.06.05</t>
  </si>
  <si>
    <t>7.3.06.05.001</t>
  </si>
  <si>
    <t>Al Instituto Técnico Luis R. González</t>
  </si>
  <si>
    <t xml:space="preserve">Mobiliarios  </t>
  </si>
  <si>
    <t xml:space="preserve"> </t>
  </si>
  <si>
    <t>Obras públicas de transporte y vías</t>
  </si>
  <si>
    <t>Mobiliario</t>
  </si>
  <si>
    <t>CONSTRUCCIONES Y EDIFICACIONES</t>
  </si>
  <si>
    <t>7.1.01</t>
  </si>
  <si>
    <t>7.3.02</t>
  </si>
  <si>
    <t>7.3.03</t>
  </si>
  <si>
    <t>7.3.03.01</t>
  </si>
  <si>
    <t>7.3.03.03</t>
  </si>
  <si>
    <t>7.3.04</t>
  </si>
  <si>
    <t>7.3.04.03</t>
  </si>
  <si>
    <t>7.3.04.04</t>
  </si>
  <si>
    <t>7.3.08</t>
  </si>
  <si>
    <t>7.3.08.02</t>
  </si>
  <si>
    <t>7.3.08.07</t>
  </si>
  <si>
    <t>7.3.02.99</t>
  </si>
  <si>
    <t>7.3.04.06</t>
  </si>
  <si>
    <t>7.3.08.06</t>
  </si>
  <si>
    <t>BIENES  DE USO Y CONSUMO DE INVERSION</t>
  </si>
  <si>
    <t>84.01.03</t>
  </si>
  <si>
    <t>BIENES DE USO Y CONSUMO CORRIENTE</t>
  </si>
  <si>
    <t>Vestuario, Lencería y prendas de protección</t>
  </si>
  <si>
    <t>AEMA,comisariato, sindicatos  y otros</t>
  </si>
  <si>
    <t>GASTOS DE INVERSIÓN</t>
  </si>
  <si>
    <t xml:space="preserve">Otros servicios </t>
  </si>
  <si>
    <t>7.3.06.05.004</t>
  </si>
  <si>
    <t>7.5.05</t>
  </si>
  <si>
    <t>MANTENIMIENTO Y REPARACIONES</t>
  </si>
  <si>
    <t>7.5.05.01</t>
  </si>
  <si>
    <t>En Obras de Infraestructura</t>
  </si>
  <si>
    <t>Vehículos</t>
  </si>
  <si>
    <t>Combustibles y Lubricantes</t>
  </si>
  <si>
    <t>Materiales de Oficina</t>
  </si>
  <si>
    <t>5.3.08.06</t>
  </si>
  <si>
    <t>INTRODUCCION FAENAMIENTO DE GANADO CAMAL MUNICIPAL</t>
  </si>
  <si>
    <t>7.3.06.05.002</t>
  </si>
  <si>
    <t>5.1.01.05</t>
  </si>
  <si>
    <t>5.1.04</t>
  </si>
  <si>
    <t>SUBSIDIOS</t>
  </si>
  <si>
    <t>REMUNERACIONES TEMPORALES</t>
  </si>
  <si>
    <t>5.1.05</t>
  </si>
  <si>
    <t>7.1.04</t>
  </si>
  <si>
    <t>Maquinarias y Equipos</t>
  </si>
  <si>
    <t>7.3.06.05.003</t>
  </si>
  <si>
    <t>Herramientas (cuchillos, sierras)</t>
  </si>
  <si>
    <t>7.3.08.05</t>
  </si>
  <si>
    <t>7.5.01.05.001</t>
  </si>
  <si>
    <t>TRANSFERENCIAS CORRIENTES SECTOR PRIVADO INTERNO</t>
  </si>
  <si>
    <t>Mantenimiento de areas verdes</t>
  </si>
  <si>
    <t>5,3,08,04</t>
  </si>
  <si>
    <t>BIENES Y SERVICIOS PARA INVERSIÓN</t>
  </si>
  <si>
    <t>CONTRATACIÓN DE ESTUDIOS E INVESTIGACIONES</t>
  </si>
  <si>
    <t>Estudios y diseños de proyectos</t>
  </si>
  <si>
    <t>5.3.04.02</t>
  </si>
  <si>
    <t>Edificios, locales y residencia</t>
  </si>
  <si>
    <t>Obras Básicas en Parroquias</t>
  </si>
  <si>
    <t>84.01.04</t>
  </si>
  <si>
    <t>PASIVO CIRCULANTE</t>
  </si>
  <si>
    <t>9.7.01</t>
  </si>
  <si>
    <t>9.7.01.01</t>
  </si>
  <si>
    <t>De Cuentas por Pagar</t>
  </si>
  <si>
    <t>ADMINISTRACION GENERAL</t>
  </si>
  <si>
    <t>JUSTICIA POLICIA Y VIGILANCIA  (COMISARIA MUNICIPAL)</t>
  </si>
  <si>
    <t>EDUCACION, CULTURA Y DESARROLLO COMUNITARIO</t>
  </si>
  <si>
    <t>PLANIFICACION RURAL Y URBANA</t>
  </si>
  <si>
    <t>PARQUES Y JARDINES</t>
  </si>
  <si>
    <t>GASTOS COMUNES DE LA ENTIDAD</t>
  </si>
  <si>
    <t>ADMINISTRACION DE MERCADOS</t>
  </si>
  <si>
    <t>ADMINISTRACION DEL TERMINAL TERRESTRE</t>
  </si>
  <si>
    <t>ADMINISTRACION DEL CEMENTERIO</t>
  </si>
  <si>
    <t>7.3.05.05.001</t>
  </si>
  <si>
    <t>7.3.05.05.002</t>
  </si>
  <si>
    <t>5.8.02.04.002</t>
  </si>
  <si>
    <t>Ayuda para cajas mortuorias</t>
  </si>
  <si>
    <t>75.01.04.001</t>
  </si>
  <si>
    <t>75.01.04.002</t>
  </si>
  <si>
    <t>7.5.05.01.001</t>
  </si>
  <si>
    <t>7.5.05.01.002</t>
  </si>
  <si>
    <t>5.3.08.11</t>
  </si>
  <si>
    <t>BARRIDO DE CALLES Y ESPACIOS PÚBLICOS</t>
  </si>
  <si>
    <t>RECOLECCIÓN DE DESECHOS SÓLIDOS</t>
  </si>
  <si>
    <t>Proyecto de papeleras peatonales</t>
  </si>
  <si>
    <t>INTERESES DE LA DEUDA PÚBLICA INTERNA</t>
  </si>
  <si>
    <t>Intereses de la deuda con el  BEDE</t>
  </si>
  <si>
    <t>EDUCACIÓN PARA LA SALUD</t>
  </si>
  <si>
    <t>Centro de Cultura Municipal</t>
  </si>
  <si>
    <t>Banda Orquesta Infanto Juvenil</t>
  </si>
  <si>
    <t>Maquinarias y equipos (incluye ascensor y maquinarias)</t>
  </si>
  <si>
    <t>A la Contraloría General del Estado</t>
  </si>
  <si>
    <t>Espectáculos culturales y sociales- Apoyo a fiestas populares</t>
  </si>
  <si>
    <t>7.3.02.04.001</t>
  </si>
  <si>
    <t>Materiales de construcción, electricidad, plomería y carpintería</t>
  </si>
  <si>
    <t>75.01.04.003</t>
  </si>
  <si>
    <t>7.5.05.01.003</t>
  </si>
  <si>
    <t>7.5.05.01.004</t>
  </si>
  <si>
    <t>COMPLEJO  COMERCIAL BARTOLOME SERRANO</t>
  </si>
  <si>
    <t>Mantenimiento de Edificio del Complejo Comercial</t>
  </si>
  <si>
    <t>Servicio de correos</t>
  </si>
  <si>
    <t xml:space="preserve">Jornadas culturales vacacionales </t>
  </si>
  <si>
    <t>BIENES INMUEBLES</t>
  </si>
  <si>
    <t>7.5.05.01.005</t>
  </si>
  <si>
    <t>7.8.01</t>
  </si>
  <si>
    <t>7.8.01.08</t>
  </si>
  <si>
    <t>7.8.01.08.001</t>
  </si>
  <si>
    <t>5.1.01.01</t>
  </si>
  <si>
    <t>5.1.02</t>
  </si>
  <si>
    <t>REMUNERACIONES COMPLEMENTARIAS</t>
  </si>
  <si>
    <t>5.1.02.03</t>
  </si>
  <si>
    <t>Décimo Tercer Sueldo</t>
  </si>
  <si>
    <t>5.1.02.04</t>
  </si>
  <si>
    <t>Décimo Cuarto Sueldo</t>
  </si>
  <si>
    <t>5.1.05.09</t>
  </si>
  <si>
    <t>Horas Extraordinarias y Suplementarias</t>
  </si>
  <si>
    <t>5.1.06.01</t>
  </si>
  <si>
    <t>Aporte Patronal</t>
  </si>
  <si>
    <t>7.1.01.01</t>
  </si>
  <si>
    <t>7.1.02.03</t>
  </si>
  <si>
    <t>7.1.02.04</t>
  </si>
  <si>
    <t>7.1.02</t>
  </si>
  <si>
    <t>7.1.06</t>
  </si>
  <si>
    <t>7.1.06.01</t>
  </si>
  <si>
    <t>7.1.05</t>
  </si>
  <si>
    <t>7.1.05.09</t>
  </si>
  <si>
    <t>7.5.01.04.001</t>
  </si>
  <si>
    <t>7.1.01.05</t>
  </si>
  <si>
    <t>7.5.01.05.002</t>
  </si>
  <si>
    <t>Junta Cantonal de Protección de Derechos</t>
  </si>
  <si>
    <t>7.5.05.01.006</t>
  </si>
  <si>
    <t xml:space="preserve">Libros y colecciones  </t>
  </si>
  <si>
    <t>8.4.01.04</t>
  </si>
  <si>
    <t>5.1.04.01</t>
  </si>
  <si>
    <t>7.1.04.01</t>
  </si>
  <si>
    <t>Materiales de Construcción, Eléctricos, plomería y Carpintería (mantenimiento de señaletica)</t>
  </si>
  <si>
    <t xml:space="preserve">Materiales de Aseo </t>
  </si>
  <si>
    <t>ADMINISTRACIÓN DEL SEMERTAZ</t>
  </si>
  <si>
    <t>Impresión, reproducción y publicación- Información sobre la ejecución de la obra pública</t>
  </si>
  <si>
    <t>8.4.01.05</t>
  </si>
  <si>
    <t>Otros servicios (ensayos de laboratorio)</t>
  </si>
  <si>
    <t>Impresión, reproducción y publicaciones</t>
  </si>
  <si>
    <t>Materiales de impresión,fotografía,reproducción y publicaciones (COMPRA DE FUNDAS)</t>
  </si>
  <si>
    <t>A Acción Social Municipal (gastos corrientes, guarderías, cotemuaz, equipamiento)</t>
  </si>
  <si>
    <t>7.8.01.08.002</t>
  </si>
  <si>
    <t>7.5.01.99.005</t>
  </si>
  <si>
    <t>7.5.01.99.006</t>
  </si>
  <si>
    <t>DISPOSICIÓN FINAL Y TRATAMIENTO DE DESECHOS SÓLIDOS</t>
  </si>
  <si>
    <t>9.6.99</t>
  </si>
  <si>
    <t>ASIGNACIONES A DISTRIBUIR</t>
  </si>
  <si>
    <t>9.6.99.002</t>
  </si>
  <si>
    <t>Asignaciones a distribuir para el persoanl de empleados (40USD)</t>
  </si>
  <si>
    <t>5.6.01</t>
  </si>
  <si>
    <t>TITULOS Y VALORES EN CIRCULACIÓN</t>
  </si>
  <si>
    <t>5.6.01.06</t>
  </si>
  <si>
    <t>Descuentos, comisiones y otros cargos en títulos valores</t>
  </si>
  <si>
    <t xml:space="preserve">Materiales de impresión,fotografía,reproducción y publicaciones </t>
  </si>
  <si>
    <t>8.4.01.03</t>
  </si>
  <si>
    <t>5.1.07</t>
  </si>
  <si>
    <t>INDEMNIZACIONES</t>
  </si>
  <si>
    <t>5.1.07.04</t>
  </si>
  <si>
    <t>7.3.08.11</t>
  </si>
  <si>
    <t>5.3.02.99.003</t>
  </si>
  <si>
    <t>Matriales de construcción,electricidad,plomería y carpintería (mantenimiento)</t>
  </si>
  <si>
    <t>Grupo Coral Instrumental y de promoción cultural</t>
  </si>
  <si>
    <t>7.3.05</t>
  </si>
  <si>
    <t>7.3.05.04</t>
  </si>
  <si>
    <t>Maquinarias y Equipos (MANTENIMIENTO VIAL)</t>
  </si>
  <si>
    <t>Mantenimiento General del Cementerio</t>
  </si>
  <si>
    <t xml:space="preserve">Materiales de Construcción, Eléctricos, Plomería y Carpintería </t>
  </si>
  <si>
    <t>7.3.08.11.001</t>
  </si>
  <si>
    <t>Equipos, sistemas y paquetes informáticos</t>
  </si>
  <si>
    <t>Materiales de construcción,electricidad,plomería y carpintería</t>
  </si>
  <si>
    <t>Recolección de pilas</t>
  </si>
  <si>
    <t>Otros servicios (control epidemiológico)</t>
  </si>
  <si>
    <t>Otras obras de infraestructura</t>
  </si>
  <si>
    <t>Construcción de bóvedas y nichos en el cementerio municipal</t>
  </si>
  <si>
    <t>7.3.02.04.002</t>
  </si>
  <si>
    <t>Difusión del Patrimonio</t>
  </si>
  <si>
    <t>Murales y embellecimiento urbano</t>
  </si>
  <si>
    <t>7.5.01.99.007</t>
  </si>
  <si>
    <t>5,3,08,01</t>
  </si>
  <si>
    <t>Alimentos y Bebidas</t>
  </si>
  <si>
    <t>7.3.02.04</t>
  </si>
  <si>
    <t>7.3.02.05</t>
  </si>
  <si>
    <t>7.3.02.05.001</t>
  </si>
  <si>
    <t>7.3.02.05.003</t>
  </si>
  <si>
    <t>7.3.02.05.005</t>
  </si>
  <si>
    <t>7.3.02.05.006</t>
  </si>
  <si>
    <t>7.3.02.05.010</t>
  </si>
  <si>
    <t>7.3.02.05.012</t>
  </si>
  <si>
    <t>7.3.08.12</t>
  </si>
  <si>
    <t>7.8.01.08.003</t>
  </si>
  <si>
    <t>7.8.01.08.004</t>
  </si>
  <si>
    <t>5.1.99</t>
  </si>
  <si>
    <t>5.1.99.01</t>
  </si>
  <si>
    <t>9.6.05.01.002</t>
  </si>
  <si>
    <t>Deuda a Contratistas</t>
  </si>
  <si>
    <t>Materiales de Construcción, Eléctricos, Plomería y Carpintería (Vías, aceras y bordillos)</t>
  </si>
  <si>
    <t>Beneficio por Jubilación (incluye 7 trabajadores y 5 empleados)</t>
  </si>
  <si>
    <t>Señalética horizontal interior del parqueadero municipal</t>
  </si>
  <si>
    <t>Mejoramiento de Areas verdes internas y externas</t>
  </si>
  <si>
    <t>Programa de actualización y mantenimiento catastral</t>
  </si>
  <si>
    <t>Programa Integral  de Educación y sensibilización cívica al ciudadano/a Azogueño</t>
  </si>
  <si>
    <t>Planificación, participación y Control Social</t>
  </si>
  <si>
    <t>5.1.03</t>
  </si>
  <si>
    <t>REMUNERACIONES COMPENSATORIAS</t>
  </si>
  <si>
    <t>5.1.03.06</t>
  </si>
  <si>
    <t>5.1.04.05</t>
  </si>
  <si>
    <t>Mantenimiento del Estadio</t>
  </si>
  <si>
    <t>7.3.08.06.001</t>
  </si>
  <si>
    <t>Herramientas-Estadio</t>
  </si>
  <si>
    <t>Proyectos de Trabajo Social</t>
  </si>
  <si>
    <t>Mantenimiento elèctrico  del edificio municipal</t>
  </si>
  <si>
    <t>Readecuación de cisterna y tanques de reserva del edificio municipal</t>
  </si>
  <si>
    <t>Mantenimiento de diferentes espacios pùblicos municipales</t>
  </si>
  <si>
    <t>Sistema de ductos en el parqueadero  municipal</t>
  </si>
  <si>
    <t>5.3.02.08</t>
  </si>
  <si>
    <t>Servicio de seguridad y vigilancia</t>
  </si>
  <si>
    <t>5.3.02.09</t>
  </si>
  <si>
    <t>Servicio de Aseo</t>
  </si>
  <si>
    <t>Proyectos turísticos</t>
  </si>
  <si>
    <t>De cuentas por pagar</t>
  </si>
  <si>
    <t>7.5.01.03</t>
  </si>
  <si>
    <t>De Alcantarillado</t>
  </si>
  <si>
    <t>7.5.05.01.007</t>
  </si>
  <si>
    <t>7.5.05.01.008</t>
  </si>
  <si>
    <t>7.5.05.01.009</t>
  </si>
  <si>
    <t>7.5.05.01.010</t>
  </si>
  <si>
    <t>7.5.05.01.011</t>
  </si>
  <si>
    <t>Plan de compensación Social comunidades vecinas al Relleno Sanitario</t>
  </si>
  <si>
    <t>Operación y mecanización de la planta de Compostaje</t>
  </si>
  <si>
    <t>Operación del proyecto de disposición final de biopeligrosos</t>
  </si>
  <si>
    <t>Provisión de fundas verdes y azules para la clasificación intradomiciliaria de RS</t>
  </si>
  <si>
    <t>7.3.05.05.003</t>
  </si>
  <si>
    <t>7.3.05.05.004</t>
  </si>
  <si>
    <t>Señalización vertical, rutas alternas de buses</t>
  </si>
  <si>
    <t>Mantenimiento y Renovación de juegos infantiles</t>
  </si>
  <si>
    <t>Ejecuciòn de Aceras y Bordillos</t>
  </si>
  <si>
    <t>Plan de manejo ambiental del relleno sanitario de Chapte Toray</t>
  </si>
  <si>
    <t>7.3.02.05.007</t>
  </si>
  <si>
    <t>7.3.02.05.009</t>
  </si>
  <si>
    <t>Fletes y maniobras (alquiler de la wincha)</t>
  </si>
  <si>
    <t>Mantenimiento de luminarias del Parque Central</t>
  </si>
  <si>
    <t>Obras de Infraestructura  Básica</t>
  </si>
  <si>
    <t>7.5.01.99.008</t>
  </si>
  <si>
    <t>7.5.01.03.001</t>
  </si>
  <si>
    <t>Estudios integrales de la vía Oriente, desde la Juan Bautista Cordero hasta la Manuel Agustín Aguirre</t>
  </si>
  <si>
    <t>7.3.06.05.005</t>
  </si>
  <si>
    <t>5.1.99.01.001</t>
  </si>
  <si>
    <t>5.1.99.01.002</t>
  </si>
  <si>
    <t>Reserva para creación de partidas, controladores de SEMERTAZ</t>
  </si>
  <si>
    <t>Reserva para la creación de la partida de la Jefatura de la Sección de Comisiones</t>
  </si>
  <si>
    <t>Estudios de factibilidad para la colocación de la imagen del Señor de Burgos en el cerro de Cojitambo</t>
  </si>
  <si>
    <t>7.3.06.05.006</t>
  </si>
  <si>
    <t>VALOR</t>
  </si>
  <si>
    <t>CODIFICADO</t>
  </si>
  <si>
    <t>PROGRAMA</t>
  </si>
  <si>
    <t>5,3,01,01</t>
  </si>
  <si>
    <t>Agua Potable</t>
  </si>
  <si>
    <t>Horas Extraordinarias y Suplementarias (recaudadores y mantenimiento)</t>
  </si>
  <si>
    <t>TOTAL GASTOS</t>
  </si>
  <si>
    <t>GAD MUNICIPAL DE AZOGUES</t>
  </si>
  <si>
    <t>Nro.</t>
  </si>
  <si>
    <t>Intereses de la deuda con el BEDE y Bancos Privados</t>
  </si>
  <si>
    <t>5.3.08.13</t>
  </si>
  <si>
    <t>Repuestos y accesorios (Adquisición de llantas , tubos y defensas)</t>
  </si>
  <si>
    <t xml:space="preserve">Partes y Repuestos </t>
  </si>
  <si>
    <t>OTROS SERVICIOS GENERALES</t>
  </si>
  <si>
    <t xml:space="preserve">AREA </t>
  </si>
  <si>
    <t>SUPROGRAMA</t>
  </si>
  <si>
    <t>ADMINISTRACIÓN GENERAL</t>
  </si>
  <si>
    <t>ADMINISTRACIÓN FINANCIERA</t>
  </si>
  <si>
    <t>2.1.1</t>
  </si>
  <si>
    <t>EDUCACIÓN, CULTURA Y DESARROLLO COMUNITARIO</t>
  </si>
  <si>
    <t>ACCIÓN SOCIAL MUNICIPAL</t>
  </si>
  <si>
    <t>3.1.1</t>
  </si>
  <si>
    <t xml:space="preserve">SERVICIOS COMUNALES </t>
  </si>
  <si>
    <t>PLANIFICACIÓN RURAL Y URBANA</t>
  </si>
  <si>
    <t>3.1.2</t>
  </si>
  <si>
    <t>1.2.1</t>
  </si>
  <si>
    <t>1.3.1</t>
  </si>
  <si>
    <t>1.2.2</t>
  </si>
  <si>
    <t>ADMINISTRACIÓN DEL TERMINAL TERRESTRE</t>
  </si>
  <si>
    <t>1.2.3</t>
  </si>
  <si>
    <t>COMPLEJO COMERCIAL BARTOLOMÉ SERRANO</t>
  </si>
  <si>
    <t>ADMINISTRACIÓN DE MERCADOS</t>
  </si>
  <si>
    <t xml:space="preserve">OTROS SERVICIOS COMUNALES </t>
  </si>
  <si>
    <t>3.2.1</t>
  </si>
  <si>
    <t>3.2.2</t>
  </si>
  <si>
    <t>ADMINISTRACIÓN DE CEMENTERIO</t>
  </si>
  <si>
    <t>3.3.1</t>
  </si>
  <si>
    <t>ADMINISTRACIÓN DEL SERVICIO DE DESECHOS SÓLIDOS</t>
  </si>
  <si>
    <t>3.3.2</t>
  </si>
  <si>
    <t>3.3.3</t>
  </si>
  <si>
    <t>3.3.4</t>
  </si>
  <si>
    <t>3.3.5</t>
  </si>
  <si>
    <t>5.1.1</t>
  </si>
  <si>
    <t>CAMAL  MUNICIPAL</t>
  </si>
  <si>
    <t>CODIGO</t>
  </si>
  <si>
    <t>ASIGNACIÓN</t>
  </si>
  <si>
    <t>DESCRIPCIÓN</t>
  </si>
  <si>
    <t>2.2.1</t>
  </si>
  <si>
    <t>OBRAS PÚBLICAS</t>
  </si>
  <si>
    <t>VIGILANCIA Y SEGURIDAD</t>
  </si>
  <si>
    <t>1.1.1</t>
  </si>
  <si>
    <t>GASTOS</t>
  </si>
  <si>
    <t>EDUCACIÓN, CULTURA Y DESARROLLO  COMUNITARIO</t>
  </si>
  <si>
    <t>2.3.1</t>
  </si>
  <si>
    <t>ADMINISTRACIÓN DE CEMENTERIOS MUNICIPALES</t>
  </si>
  <si>
    <t>3.4.1</t>
  </si>
  <si>
    <t>3.5.1</t>
  </si>
  <si>
    <t>3.6.1</t>
  </si>
  <si>
    <t>ÁREAS, PROGRAMAS Y SUBPROGRAMAS</t>
  </si>
  <si>
    <t xml:space="preserve">Materiales de aseo </t>
  </si>
  <si>
    <t>Materiales de impresión,fotografía,reproducción y publicaciones.</t>
  </si>
  <si>
    <t>Obras de Arrastre (años anteriores)</t>
  </si>
  <si>
    <t xml:space="preserve">Mantenimiento de edificio </t>
  </si>
  <si>
    <t>Pintado de mamposterias, mausoleos, bóvedas, cerramiento , verjas, puertas, entre otra áreas</t>
  </si>
  <si>
    <t>Telecomunicaciones (Servicios de Internet y WEB)</t>
  </si>
  <si>
    <t>7.1.03</t>
  </si>
  <si>
    <t>7.1.03.06</t>
  </si>
  <si>
    <t>Servicios de Capacitacion</t>
  </si>
  <si>
    <t>Contratación de Estudios, Investigaciones y Servicios Técnicos Especializados.</t>
  </si>
  <si>
    <t>7.3.05.05.005</t>
  </si>
  <si>
    <t>7.3.05.05.006</t>
  </si>
  <si>
    <t>Proyecto Programas Culturales Años Viejos, Navidad, Taita Carnaval, Corpus Cristi, Inocentes, Fiesta del Maiz</t>
  </si>
  <si>
    <t>Biblioteca Comunitaria</t>
  </si>
  <si>
    <t>Promotor Cultural Servicios Profesionales</t>
  </si>
  <si>
    <t>8.4.01.02</t>
  </si>
  <si>
    <t>7.3.02.05.017</t>
  </si>
  <si>
    <t>7.3.02.05.021</t>
  </si>
  <si>
    <t>Auspicios para publicaciones, libros, cds, exposiciones y similares</t>
  </si>
  <si>
    <t>Asistencia técnica y social a parroquias rurales</t>
  </si>
  <si>
    <t>Amortización de la deuda con el BEDE y Banca Privada</t>
  </si>
  <si>
    <t>5.1.04.08</t>
  </si>
  <si>
    <t>Subsidio de Antiguedad</t>
  </si>
  <si>
    <t>7.1.04.08</t>
  </si>
  <si>
    <t>ESTUDIOS Y DISÑEOS DE PROYECTOS</t>
  </si>
  <si>
    <t>Estudios Hidrosanitarios Préstamo BEDE</t>
  </si>
  <si>
    <t>5.3.02.99.01</t>
  </si>
  <si>
    <t>8.4.01.11</t>
  </si>
  <si>
    <t>Mantenimiento y Reparaciones instalaciones electricas e hidrosanitarias</t>
  </si>
  <si>
    <t>Mantenimiento pintura cerramiento edificio</t>
  </si>
  <si>
    <t>Mantenimiento y Pintado Bordillos y Señalizacion Horizontal</t>
  </si>
  <si>
    <t>Difusión, Información y Publicidad</t>
  </si>
  <si>
    <t>Impermeabilización de lozas edificacion antigua</t>
  </si>
  <si>
    <t>Vehiculos</t>
  </si>
  <si>
    <t xml:space="preserve">Herramientas </t>
  </si>
  <si>
    <t>53.08.04</t>
  </si>
  <si>
    <t>7.3.08.13</t>
  </si>
  <si>
    <t xml:space="preserve">Maquinarias y equipos </t>
  </si>
  <si>
    <t>Maquinarias y Equipos ( equipos amplificación)</t>
  </si>
  <si>
    <t>5.3.01.01</t>
  </si>
  <si>
    <t>Escuela de Artes Cantera y Canterita</t>
  </si>
  <si>
    <t>Dia de la Bandera</t>
  </si>
  <si>
    <t>Equipos, sistemas y paquetes informáticos (Biblioteca)</t>
  </si>
  <si>
    <t>Fortalecimiento Unidad de Turismo</t>
  </si>
  <si>
    <t>7.3.02.07</t>
  </si>
  <si>
    <t>Plan de seguridad y salud Ocupacional</t>
  </si>
  <si>
    <t>Programas de medicina preventiva, Plan de emergencia y contingencia Institucional</t>
  </si>
  <si>
    <t>Compensación por Desahucio</t>
  </si>
  <si>
    <t>REGISTRADURIA DE LA PROPIEDAD</t>
  </si>
  <si>
    <t>PARCIAL</t>
  </si>
  <si>
    <t>5.1.03.04</t>
  </si>
  <si>
    <t>Compensación por Transporte</t>
  </si>
  <si>
    <t>5.1.06.02</t>
  </si>
  <si>
    <t>Energía Eléctrica</t>
  </si>
  <si>
    <t>Telecomunicaciones- incluye internet</t>
  </si>
  <si>
    <t>Otros Servicios (limpieza y seguridad)</t>
  </si>
  <si>
    <t xml:space="preserve">Edificios, locales y residencia </t>
  </si>
  <si>
    <t xml:space="preserve">Mobiliario </t>
  </si>
  <si>
    <t xml:space="preserve">Entidades Descentralizadas y Autónomas </t>
  </si>
  <si>
    <t>5.8.01.01.001</t>
  </si>
  <si>
    <t>Remanente al DINARDAP</t>
  </si>
  <si>
    <t>3.1.3</t>
  </si>
  <si>
    <t>DIRECCIÓN DE MOVILIDAD</t>
  </si>
  <si>
    <t>BIENES Y SERVICIOS DE INVERSIÓN</t>
  </si>
  <si>
    <t>7.3.01.04</t>
  </si>
  <si>
    <t>Energia Eléctrica</t>
  </si>
  <si>
    <t>7.3.04.02</t>
  </si>
  <si>
    <t>BIENES  DE USO Y CONSUMO DE INVERSIÓN</t>
  </si>
  <si>
    <t>7.3.08.04</t>
  </si>
  <si>
    <t>Implementación, mantenimiento y reparación de la señalización horizontal</t>
  </si>
  <si>
    <t>Implementación, mantenimiento y reparación de la señalización vertical</t>
  </si>
  <si>
    <t>Implementación, mantenimiento y reparación de la semaforización</t>
  </si>
  <si>
    <t>8.4.01.06</t>
  </si>
  <si>
    <t>OBRAS PUBLICAS DE TRANSPORTE Y VIAS</t>
  </si>
  <si>
    <t>7.5.01.05.01</t>
  </si>
  <si>
    <t>7.5.01.05.02</t>
  </si>
  <si>
    <t>7.5.01.05.03</t>
  </si>
  <si>
    <t>PRESUPUESTO DEL AÑO 2016</t>
  </si>
  <si>
    <t>Colocación y cambio de luminarias</t>
  </si>
  <si>
    <t>Edición, impresión, Reproducción, Publicaciones, Suscripciones, Fotocopiado, Traducción, Empastado, Enmarcación, Serigrafía, Fotografía, Carnetización, Filmación e Imágenes Satelitales</t>
  </si>
  <si>
    <t>Servicio de Aseo; Vestimenta de trabajo; fumigación, Desinfección y Limpieza de las Instalaciones del Sector Público</t>
  </si>
  <si>
    <t>5.3.02.36</t>
  </si>
  <si>
    <t>Mantenimiento de Oficinas e Instalaciones</t>
  </si>
  <si>
    <t>Mobiliarios (papeleras, contenedores, basureros)</t>
  </si>
  <si>
    <t>5.1.05.12</t>
  </si>
  <si>
    <t>Subrogación</t>
  </si>
  <si>
    <t>5.3.02.05</t>
  </si>
  <si>
    <t>Espectáculos Culturales y Sociales</t>
  </si>
  <si>
    <t>Servicio de Aseo; Vestimenta de Trabajo; Fumigación, Desinfección y Limpieza de las Instalaciones del Sector Público</t>
  </si>
  <si>
    <t>Edificios, Locales, Residencias y Cableado  Estructurado  (Instalación, Mantenimiento y Reparaciones)</t>
  </si>
  <si>
    <t>Edición, Impresión, Reproducción, Publicaciones, Suscripciones, Fotocopiado, Traducción, empastado, Enmarcación, serigrafía, Fotografía, Carnetización, Filmación e Imágenes Satelitales</t>
  </si>
  <si>
    <t>Mantenimiento del Sistema del Parqueadero Municipal</t>
  </si>
  <si>
    <t>Mobiliarios (Mobiliario Oficina y mesas patio de comidas)</t>
  </si>
  <si>
    <t>7.3.02.05.023</t>
  </si>
  <si>
    <t>Taller de Aerografía</t>
  </si>
  <si>
    <t>7.3.02.05.024</t>
  </si>
  <si>
    <t>7.3.02.05.025</t>
  </si>
  <si>
    <t>Grupo de Ballet Andino</t>
  </si>
  <si>
    <t xml:space="preserve">Grupo de danza </t>
  </si>
  <si>
    <t>7.3.02.05.026</t>
  </si>
  <si>
    <t>Escuela de Futbol</t>
  </si>
  <si>
    <t>7.3.02.05.028</t>
  </si>
  <si>
    <t>Escuela de Basket</t>
  </si>
  <si>
    <t>7.3.02.05.029</t>
  </si>
  <si>
    <t>Programa Integral Capacitación Estudiantes examenes ENES</t>
  </si>
  <si>
    <t>7.3.02.05.030</t>
  </si>
  <si>
    <t>7.3.02.05.031</t>
  </si>
  <si>
    <t>7.3.02.05.033</t>
  </si>
  <si>
    <t>7.3.02.05.035</t>
  </si>
  <si>
    <t>7.3.02.05.038</t>
  </si>
  <si>
    <t>Agenda festival de abril: Patrimonio, cultura y tradición</t>
  </si>
  <si>
    <t>Maquinarias y Equipos (Proyector, amplificación)</t>
  </si>
  <si>
    <t>Instalaciones, Mantenimiento y Reparaciones</t>
  </si>
  <si>
    <t>Edificios, Locales, Residencias y Cableado Estructurado (Instalación, Mantenimiento y Reparaciones)</t>
  </si>
  <si>
    <t>7.3.04.99</t>
  </si>
  <si>
    <t>Otras Instalaciones, Mantenimiento y Reparaciones</t>
  </si>
  <si>
    <t>Mantenimiento y Reparación de Equipos y Sistemas Informáticos</t>
  </si>
  <si>
    <t>5.3.14</t>
  </si>
  <si>
    <t>Bienes Muebles no Depreciables</t>
  </si>
  <si>
    <t>5.3.14.07</t>
  </si>
  <si>
    <t>Servicios de Aseo; Vestimenta de trabajo; Fumigación,  Desinfección y limpieza de las Instalaciones del Sector Público</t>
  </si>
  <si>
    <t>Servicios de Plantaciones Forestales</t>
  </si>
  <si>
    <t>Edición, Impresión, reproducción, Publicaciones, Suscripciones, Fotocopiado, traducción, Empastado, enmarcación, Serigrafía, Fotografía, carnetización, Filmación e Imágenes Satelitales</t>
  </si>
  <si>
    <t>Insumos, Bienes, Materiales y Suministros para la Construcción, Eléctricos, Plomería, Carpintería, Señalización Vial, Navegación y Contra Incendios</t>
  </si>
  <si>
    <t xml:space="preserve">Renovación de Plantas Ornamentales </t>
  </si>
  <si>
    <t>Servicios Generales</t>
  </si>
  <si>
    <t xml:space="preserve">Edición, Impresión, Reproducción, Publicaciones, Suscripciones, Fotocopiado, traducción, Empastado, Enmarcación, serigrafía, Fotografía, Carnetización, Filmación e Imágenes Satelitales </t>
  </si>
  <si>
    <t>Impresión, Reproducción y Publicación-Campaña de  Difusión de Ordenanzas</t>
  </si>
  <si>
    <t>Instalación Mantenimiento y Reparación</t>
  </si>
  <si>
    <t>Maquinarias y equipos (Instalación, Mantenimiento y Reparaciones)</t>
  </si>
  <si>
    <t>Suministro e instalación de una bomba para extracción de lodos</t>
  </si>
  <si>
    <t>Maquinarias y Equipos  (Arrendamientos)</t>
  </si>
  <si>
    <t>INSTALACIONES, MANTENIMIENTOS Y REPARACIONES</t>
  </si>
  <si>
    <t>Operación y adecentamiento de escombrera</t>
  </si>
  <si>
    <t>8.4.02.01</t>
  </si>
  <si>
    <t>Estudio y Diseño de Proyectos</t>
  </si>
  <si>
    <t>Edición, Impresión, Reproducción, Publicaciones, Suscripciones, Fotocopiado, Traducción, Empastado, Enmarcación, serigrafía, Fotografía, Carnetización, Filmación e Imágenes Satelitales.</t>
  </si>
  <si>
    <t>5.3.02.18</t>
  </si>
  <si>
    <t>Publicidad y Propaganda en Medios de Comunicación Masiva</t>
  </si>
  <si>
    <t>Información y capacitación sobre el manejo de residuos peligrosos- bioligrosos y especiales</t>
  </si>
  <si>
    <t>Procesos de Marketing de los servicios de la Dirección de Gestión Ambiental</t>
  </si>
  <si>
    <t>Proyecto de Intervención Educativa en la Educación Ambiental "Convenio CELEC"</t>
  </si>
  <si>
    <t>Señalética e Información sobre los servicios de la Dirección de Gestión Ambiental, mediante letreros</t>
  </si>
  <si>
    <t>7.3.05.05.007</t>
  </si>
  <si>
    <t>Programa de Gestión Ambiental  Institucional</t>
  </si>
  <si>
    <t>Programa de Calificación de Uso del Suelo (Gestión Ambiental)</t>
  </si>
  <si>
    <t>GESTION AMBIENTAL</t>
  </si>
  <si>
    <t>Programa de Seguimiento y Control Ambiental (Gestión ambiental)</t>
  </si>
  <si>
    <t>Programa Gestión de Recursos Naturales (Gestión Ambiental)</t>
  </si>
  <si>
    <t>Impresión ,  Reproducción, Publicaciones, Suscripciones, Fotocopiado, Traducción, Empastado, Enmarcaión, Serigrafía, Fotografía, Carnetización, Filmación e Imágenes Satelitales.</t>
  </si>
  <si>
    <t>Vehículos ( incluye matrículas)</t>
  </si>
  <si>
    <t>BIENES Y SERVICIOS PARA INVERSION</t>
  </si>
  <si>
    <t>Bienes de Uso y Consumo de Inversión</t>
  </si>
  <si>
    <t>Maquinarias y Equipos  (radios, cámaras fotográficas)</t>
  </si>
  <si>
    <t>Programa Funcionamiento y Operación del  Consejo Cantonal de Protección de Derechos</t>
  </si>
  <si>
    <t>Programa para Grupos Vulnerables de Parroquias</t>
  </si>
  <si>
    <t>7.8.01.08.005</t>
  </si>
  <si>
    <t>Aporte Programa ARCA</t>
  </si>
  <si>
    <t>Proyecto Cultural, Tradicional: Independencia de Azogues</t>
  </si>
  <si>
    <t>7.8.01.08.006</t>
  </si>
  <si>
    <t>Aportes Programa FEDELIBAPACA</t>
  </si>
  <si>
    <t>7.1.07</t>
  </si>
  <si>
    <t>7.1.07.07</t>
  </si>
  <si>
    <t>7.3.01.01</t>
  </si>
  <si>
    <t>Agua potable</t>
  </si>
  <si>
    <t>Edición, Impresión, Reproducción y Publicaciones</t>
  </si>
  <si>
    <t>7.3.02.18</t>
  </si>
  <si>
    <t>Publicidad y propaganda en medios de comunicación masiva</t>
  </si>
  <si>
    <t xml:space="preserve">Otros Servicios </t>
  </si>
  <si>
    <t>INSTALACION, MANTENIMIENTO Y REPARACIONES</t>
  </si>
  <si>
    <t>Edificios, Locales, Residencias y cableado estructurado</t>
  </si>
  <si>
    <t>Otras instalaciones,mantenimiento y reparaciones</t>
  </si>
  <si>
    <t>7.3.07</t>
  </si>
  <si>
    <t>7.3.07.04</t>
  </si>
  <si>
    <t>Mantenimiento y reparación de equipos y sistemas informáticos</t>
  </si>
  <si>
    <t>BIENES DE USO Y CONSUMO DE INVERSION</t>
  </si>
  <si>
    <t>7.3.08.01</t>
  </si>
  <si>
    <t>7.3.08.03</t>
  </si>
  <si>
    <t>Materiales de Aseo</t>
  </si>
  <si>
    <t>7.3.08.08</t>
  </si>
  <si>
    <t>Instrumental médico menor</t>
  </si>
  <si>
    <t>7.3.08.09</t>
  </si>
  <si>
    <t>Medicinas y productos farmacéuticos</t>
  </si>
  <si>
    <t>7.3.08.10</t>
  </si>
  <si>
    <t>Materiales e insumos para Laboratorio y Uso Médico</t>
  </si>
  <si>
    <t>Materiales de Construción, insumos, bienes eléctricos y plomeria</t>
  </si>
  <si>
    <t>Repuestos y accesorios</t>
  </si>
  <si>
    <t>7.3.08.14</t>
  </si>
  <si>
    <t>Suministros para actividades agropecuarias, pesca y caza</t>
  </si>
  <si>
    <t>7.3.08.20</t>
  </si>
  <si>
    <t>7.3.14</t>
  </si>
  <si>
    <t>BIENES MUEBLES NO DEPRECIABLES</t>
  </si>
  <si>
    <t>7.3.14.03</t>
  </si>
  <si>
    <t>7.7.</t>
  </si>
  <si>
    <t>OTROS GASTOS DE INVERSION</t>
  </si>
  <si>
    <t>7.7.01</t>
  </si>
  <si>
    <t>Impuestos, tasa y contribuciones</t>
  </si>
  <si>
    <t>7.7.01.02</t>
  </si>
  <si>
    <t>Tasas generales, impuestos, contribuciones, permisos, licencias y patentes</t>
  </si>
  <si>
    <t>GASTOS DE PRODUCCION</t>
  </si>
  <si>
    <t>BIENES Y SERVICIOS PARA PRODUCCION</t>
  </si>
  <si>
    <t>6.3.12</t>
  </si>
  <si>
    <t>ADQUISICION DE PRODUCTOS TERMINADOS</t>
  </si>
  <si>
    <t>6.3.12.09</t>
  </si>
  <si>
    <t>Medicinas y productos farmaceuticos</t>
  </si>
  <si>
    <t>6.3.11</t>
  </si>
  <si>
    <t>ADQUISICION DE PRODUCTOS SEMIELABORADOS</t>
  </si>
  <si>
    <t>6.3.11.99</t>
  </si>
  <si>
    <t>Otros Productos Semielaborados</t>
  </si>
  <si>
    <t>6.3.12.99</t>
  </si>
  <si>
    <t>OTROS PRODUCTOS TERMINADOS</t>
  </si>
  <si>
    <t>6.3.12.99.02</t>
  </si>
  <si>
    <t>Productos de Confitería</t>
  </si>
  <si>
    <t>6.3.12.99.01</t>
  </si>
  <si>
    <t>6.3.12.99.04</t>
  </si>
  <si>
    <t>Materiales pata Laboratorio y uso médico</t>
  </si>
  <si>
    <t>Material Odontológico</t>
  </si>
  <si>
    <t>7.1.05.10</t>
  </si>
  <si>
    <t>Servicios Personales por Contrato</t>
  </si>
  <si>
    <t>CONTRATACIONES DE ESTUDIOS, INVESTIGACIONES Y SERVICIOS TECNICOS ESPECIALIZADOS</t>
  </si>
  <si>
    <t>7.3.06.03</t>
  </si>
  <si>
    <t>Servicios de Capacitación</t>
  </si>
  <si>
    <t>7.3.02.09</t>
  </si>
  <si>
    <t>Servicios de Aseo (Fumigación)</t>
  </si>
  <si>
    <t>Materiales Didácticos</t>
  </si>
  <si>
    <t>Menaje de cocina, de hogar y accesorios descartables</t>
  </si>
  <si>
    <t>7.3.05.99</t>
  </si>
  <si>
    <t>Otros Arrendamientos</t>
  </si>
  <si>
    <t>7.3.02.12</t>
  </si>
  <si>
    <t>Investigaciones profesionales y Exámenes de Laboratorio</t>
  </si>
  <si>
    <t>7.3.14.04</t>
  </si>
  <si>
    <t>7.3.14.09</t>
  </si>
  <si>
    <t>Libros y Colecciones</t>
  </si>
  <si>
    <t xml:space="preserve">Construcción y Rehabilitación </t>
  </si>
  <si>
    <t>Maquinarias y Equipos (Peladoras, tenazas para cortar, grua de tambor)</t>
  </si>
  <si>
    <t>Impresión, Reproducción y Publicación</t>
  </si>
  <si>
    <t>7.3.05.02</t>
  </si>
  <si>
    <t>Edificios, Locales, Residencias (Arrendamientos)</t>
  </si>
  <si>
    <t>CONTRATACION DE ESTUDIOS, INVESTIGACIONES Y SERVICIOS TECNICOS ESPECIALIZADOS</t>
  </si>
  <si>
    <t>Obras De Infraestructura</t>
  </si>
  <si>
    <t>7.5.01.07</t>
  </si>
  <si>
    <t>Colocación de alucubond fachada edificio (I etapa)</t>
  </si>
  <si>
    <t>Fondos de Reserva</t>
  </si>
  <si>
    <t>Incentivo Educativo Colegial</t>
  </si>
  <si>
    <t>Insumos, Bienes, materiales y Suministros para la Construcción, Eléctricos, Plomería.</t>
  </si>
  <si>
    <t>7.5.01.07.01</t>
  </si>
  <si>
    <t xml:space="preserve">Construcciones y Edificaciones </t>
  </si>
  <si>
    <t>7.1.06.02</t>
  </si>
  <si>
    <t>Insumos, Bienes Materiales y suministros para la Construcción, Eléctricos, Plomería, Carpintería, Señalización Vial, Navegación y Contra Incendios. (mantenimiento de señalética)</t>
  </si>
  <si>
    <t>7.1.05.12</t>
  </si>
  <si>
    <t>5.3.05.04</t>
  </si>
  <si>
    <t>Maquinarias y Equipos (Instalación, Mantenimiento y Reparaciones)</t>
  </si>
  <si>
    <t>Herramientas (Instalación, Mantenimiento y Reparaciones)</t>
  </si>
  <si>
    <t>Edición, Impresión, Reproducción, Publicaciones</t>
  </si>
  <si>
    <t>5.3.14.09</t>
  </si>
  <si>
    <t>Ampliacion Oficinas Administracion Recinto Ferial</t>
  </si>
  <si>
    <t>Equipos, Sistemas y Paquetes Informáticos</t>
  </si>
  <si>
    <t>5.3.08.99</t>
  </si>
  <si>
    <t>Otros de Uso y Consumo Corriente (Fumigación)</t>
  </si>
  <si>
    <t>Otros servicios  (Rastreo satelital)</t>
  </si>
  <si>
    <t>Maquinarias y equipos (incluye mantenimiento de ascensor)</t>
  </si>
  <si>
    <t>Por Cargas familiares</t>
  </si>
  <si>
    <t>Otros de Uso y Consumo Corriente (Extintores, detectores de humo)</t>
  </si>
  <si>
    <t>Mobiliario (Instalación, Mantenimiento y Reparación)</t>
  </si>
  <si>
    <t>Edificios, locales y residencia (Instalación, Mant. Y Reparación)</t>
  </si>
  <si>
    <t>Maquinarias y equipos (Instalación, Mantenimiento y Reparación)</t>
  </si>
  <si>
    <t>7.8.01.08.007</t>
  </si>
  <si>
    <t>SEGURIDAD CIUDADANA</t>
  </si>
  <si>
    <t>2.3.2</t>
  </si>
  <si>
    <t>BIENES Y SERVICIOS DE INVERSION</t>
  </si>
  <si>
    <t>7.3.07.01</t>
  </si>
  <si>
    <t>Desarrollo, Actualización, Asistencia Técnica y Soporte de Sistemas Informáticos</t>
  </si>
  <si>
    <t>5.3.08.21</t>
  </si>
  <si>
    <t>Gastos para Situaciones de Emergencia</t>
  </si>
  <si>
    <t>Apoyo Interinstitucional para Cruz Roja</t>
  </si>
  <si>
    <t xml:space="preserve">A la Asociación de Municipalidades </t>
  </si>
  <si>
    <t>Bienes Muebles no depreciables</t>
  </si>
  <si>
    <t>Eventos Públicos y Oficiales</t>
  </si>
  <si>
    <t>ACCION SOCIAL MUNICIPAL (1)</t>
  </si>
  <si>
    <t>ACCION SOCIAL MUNICIPAL (2)</t>
  </si>
  <si>
    <t>ADMINISTRACIÓN DEL SERVICIOS DE DESECHOS SÓLIDOS</t>
  </si>
  <si>
    <t>5.1.07.06</t>
  </si>
  <si>
    <t>OTRAS INDEMNIZACIONES LABORALES</t>
  </si>
  <si>
    <t>REGISTRO DE LA PROPIEDAD</t>
  </si>
  <si>
    <t>MOVILIDAD</t>
  </si>
  <si>
    <t>Construcción del Parque Plaza Cañari</t>
  </si>
  <si>
    <t>7.5.01.05.003</t>
  </si>
  <si>
    <t>7.5.01.05.004</t>
  </si>
  <si>
    <t>Mantenimiento carreteras guangras</t>
  </si>
  <si>
    <t>5.7.01</t>
  </si>
  <si>
    <t>IMPUESTOS, TASAS Y CONTRIBUCIONES</t>
  </si>
  <si>
    <t>5.7.01.04</t>
  </si>
  <si>
    <t>Contribución Especial de Mejoras</t>
  </si>
  <si>
    <t xml:space="preserve">Terrenos </t>
  </si>
  <si>
    <t>Obras mediante convenios Interinstitucionales</t>
  </si>
  <si>
    <t xml:space="preserve">Impresión, reproducción y publicación  </t>
  </si>
  <si>
    <t>Programa Patrimonial, arquitectónico y cultural del Cantón Azogues</t>
  </si>
  <si>
    <t>TRANSFERENCIAS Y DONACIONES PARA INVERSION</t>
  </si>
  <si>
    <t>TRANFERENCIAS PARA INVERSIÓN AL SECTOR PUBLICO</t>
  </si>
  <si>
    <t>7.8.01.01</t>
  </si>
  <si>
    <t>Cuentas o Fondos Especiales ( EMAPAL )</t>
  </si>
  <si>
    <t>Aporte a Entidades Deportivas</t>
  </si>
  <si>
    <t>5.1.01.06</t>
  </si>
  <si>
    <t>1.2.4</t>
  </si>
  <si>
    <t>Sueldos ( EMPLEADOS OCASIONALES)</t>
  </si>
  <si>
    <t>Remuneraciones Unificadas ( EMPLEADOS ESTABLES)</t>
  </si>
  <si>
    <t>Salarios Unificados ( TRABAJADORES ESTABLES)</t>
  </si>
  <si>
    <t>Alimentación ( trabajadores)</t>
  </si>
  <si>
    <t>5.1.05.03</t>
  </si>
  <si>
    <t>Jornales ( TRABAJADORES EVENTUALES)</t>
  </si>
  <si>
    <t>5.1.07.07</t>
  </si>
  <si>
    <t>5.1.05.10</t>
  </si>
  <si>
    <t>7.1.01.06</t>
  </si>
  <si>
    <t>7.1.03.04</t>
  </si>
  <si>
    <t>7.1.05.03</t>
  </si>
  <si>
    <t>5.1.01.01.001</t>
  </si>
  <si>
    <t>GESTION DE RIESGOS</t>
  </si>
  <si>
    <t xml:space="preserve">Centro Integral de Jóvenes con Discapacidad </t>
  </si>
  <si>
    <t>Compensación por Vacaciones no Gozadas</t>
  </si>
  <si>
    <t>7.3.02.05.008</t>
  </si>
  <si>
    <t>7.3.02.05.011</t>
  </si>
  <si>
    <t>7.3.02.05.032</t>
  </si>
  <si>
    <t>7.3.02.05.034</t>
  </si>
  <si>
    <t>7.3.02.05.036</t>
  </si>
  <si>
    <t>7.3.08.11.002</t>
  </si>
  <si>
    <t>7.5.01.05.005</t>
  </si>
  <si>
    <t>7.5.01.05.006</t>
  </si>
  <si>
    <t xml:space="preserve">BIENES INMUEBLES </t>
  </si>
  <si>
    <t>8.4.01.01</t>
  </si>
  <si>
    <t xml:space="preserve">Vehículos </t>
  </si>
  <si>
    <t>7.3.05.01</t>
  </si>
  <si>
    <t>TOTAL DEL GASTO</t>
  </si>
  <si>
    <t>AMORTIZACION</t>
  </si>
  <si>
    <t>DEUDAS</t>
  </si>
  <si>
    <t>DE INVERSIÓN</t>
  </si>
  <si>
    <t>DE CAPITAL</t>
  </si>
  <si>
    <t>CORRIENTES</t>
  </si>
  <si>
    <t>REGISTRO PROPIEDAD</t>
  </si>
  <si>
    <t>TERMINAL</t>
  </si>
  <si>
    <t>MERCADOS</t>
  </si>
  <si>
    <t>CCBS</t>
  </si>
  <si>
    <t>SEMERTAZ</t>
  </si>
  <si>
    <t>CAMAL</t>
  </si>
  <si>
    <t>CEMENTERIO</t>
  </si>
  <si>
    <t>GASTOS COMUNES</t>
  </si>
  <si>
    <t>PARQUES Y JARD.</t>
  </si>
  <si>
    <t>00.PP.MM.</t>
  </si>
  <si>
    <t>PLANIFICACIÓN</t>
  </si>
  <si>
    <t>A. SOCIAL</t>
  </si>
  <si>
    <t>EDUCACIÓN Y CULTURA</t>
  </si>
  <si>
    <t>JUSTICIA</t>
  </si>
  <si>
    <t>FINANCIERA</t>
  </si>
  <si>
    <t>GENERAL</t>
  </si>
  <si>
    <t>ESTRUCTURA DE LOS GASTOS POR PROGRAMAS</t>
  </si>
  <si>
    <t xml:space="preserve"> PRODUCCION</t>
  </si>
  <si>
    <t>%</t>
  </si>
  <si>
    <t>TOTAL  INGRESOS</t>
  </si>
  <si>
    <t>PLANTA CENTRAL</t>
  </si>
  <si>
    <t>ASEO</t>
  </si>
  <si>
    <t xml:space="preserve">CEMENTERIOS </t>
  </si>
  <si>
    <t>CENTRO COMERCIAL BARTOLOME SERRANO</t>
  </si>
  <si>
    <t>ACCIÓN SOCIAL</t>
  </si>
  <si>
    <t>GRUPOS VULNERABLES</t>
  </si>
  <si>
    <t>ACCION  SOCIAL</t>
  </si>
  <si>
    <t>EDUCACION Y CULTURA</t>
  </si>
  <si>
    <t xml:space="preserve">Programas y Partidas </t>
  </si>
  <si>
    <t>Programa para Grupos Vulnerables del Cantón</t>
  </si>
  <si>
    <t>Construcción edificación y mobiliario (Camal)</t>
  </si>
  <si>
    <t>DIRECCION DE MOVILIDAD</t>
  </si>
  <si>
    <t>SUBPROGRAMA</t>
  </si>
  <si>
    <t>Maquinarias y Equipos  (Televisor y Cámaras )</t>
  </si>
  <si>
    <t>Jornales (TRABAJADORES EVENTUALES)</t>
  </si>
  <si>
    <t>Alimentación (trabajadores)</t>
  </si>
  <si>
    <t>Salarios Unificados (TRABAJADORES ESTABLES)</t>
  </si>
  <si>
    <t>Remuneraciones Unificadas (EMPLEADOS ESTABLES)</t>
  </si>
  <si>
    <t>Sueldos (EMPLEADOS OCASIONALES)</t>
  </si>
  <si>
    <t>Materiales de Aseo (fumigación, recolectores Basura)</t>
  </si>
  <si>
    <t>Salarios Unificados  (TRABAJADORES ESTABLES)</t>
  </si>
  <si>
    <t>Materiales didácticos (Centro de Cultura y Bibliotecas)</t>
  </si>
  <si>
    <t>Vestuario, Lencería y Prendas de Protección</t>
  </si>
  <si>
    <t>Escuela Municipal de Musica (Incluye Instructor)</t>
  </si>
  <si>
    <t>Alimentación  (trabajadores)</t>
  </si>
  <si>
    <t>Pasajes al Interior</t>
  </si>
  <si>
    <t>Viáticos y Subsistencias en el Interior</t>
  </si>
  <si>
    <t>Mobiliarios (Instalación, mantenimiento y reparaciones)</t>
  </si>
  <si>
    <t>Maquinarias y equipos (Instalación, mantenimiento y reparación)</t>
  </si>
  <si>
    <t>Edificios, locales y Residencias (Junta Cantonal,arriendo, luz y agua)</t>
  </si>
  <si>
    <t>Asistencia técnica y social a Parroquias Rurales</t>
  </si>
  <si>
    <t>Edición, Impresión, Reproducción, Publicaciones, Suscripciones, Fotocopiado, Traducción, Empastado, Enmarcación, Serigrafía, Fotografía, Carnetización, Filmación e Imágenes Satelitales</t>
  </si>
  <si>
    <t>TRASLADOS, INSTALACIONES, VIATICOS Y SUBSISTENCIAS</t>
  </si>
  <si>
    <t>Maquinarias y equipos (reparación de las maquinarias actuales)</t>
  </si>
  <si>
    <t>Herramientas (Mantenimiento)</t>
  </si>
  <si>
    <t>Materiales de Construcción, Eléctricos, Plomería y Carpintería (Planta de Asfalto)</t>
  </si>
  <si>
    <t>Obras de Alcantarillado Básico</t>
  </si>
  <si>
    <t>Construcción Av. 16 de Abril Cantón Azogues</t>
  </si>
  <si>
    <t>Proyecto de Nomenclatura de calles</t>
  </si>
  <si>
    <t>Intervención de vias (Vicente Rocafuerte y 1 de Mayo) y Puentes</t>
  </si>
  <si>
    <t>Mercado Sucre y 5 de Agosto - MF</t>
  </si>
  <si>
    <t>Remodelación de los baños del Edificio Municipal</t>
  </si>
  <si>
    <t xml:space="preserve">Programa Integral de Comunicación Social  </t>
  </si>
  <si>
    <t>Mantenimiento de áreas verdes</t>
  </si>
  <si>
    <t>Ajardinamiento de áreas verdes</t>
  </si>
  <si>
    <t>Mantenimiento de Sistemas Informáticos</t>
  </si>
  <si>
    <t>Materiales de Impresión, Fotografía, Reproducción y Publicaciones</t>
  </si>
  <si>
    <t>Al Sector Público Financiero</t>
  </si>
  <si>
    <t>Amortización de la Deuda con el BEDE</t>
  </si>
  <si>
    <t>Terrenos  (Relleno sanitario y complejo ambiental)</t>
  </si>
  <si>
    <t>Servicio de Seguridad y Vigilancia</t>
  </si>
  <si>
    <t>Maquinaria y Equipo</t>
  </si>
  <si>
    <t>Servicio de capacitación - Personal de mercados</t>
  </si>
  <si>
    <t>Materiales de Construcción, Electricidad, Plomería y Carpintería</t>
  </si>
  <si>
    <t>Repuestos y Accesorios</t>
  </si>
  <si>
    <t xml:space="preserve">Edificios, Locales, Residencias y Cableado Estructurado </t>
  </si>
  <si>
    <t>Por Guardería</t>
  </si>
  <si>
    <t>Fondo de jubilación patronal (incluido bono de jubilación)</t>
  </si>
  <si>
    <t xml:space="preserve">Asignaciones a Distribuir Gastos en el Personal </t>
  </si>
  <si>
    <t xml:space="preserve">Eventos Públicos y Oficiales </t>
  </si>
  <si>
    <t xml:space="preserve">Edificios, Locales y Residencias </t>
  </si>
  <si>
    <t>Vestuario, Lencería y Prendas de Protección (seguridad industrial)</t>
  </si>
  <si>
    <t>Descuentos, Comisiones y Otros Cargos en Títulos Valores</t>
  </si>
  <si>
    <t>Materiales de Aseo y Limpieza</t>
  </si>
  <si>
    <t>2.2.2</t>
  </si>
  <si>
    <t xml:space="preserve">BARRIDO DE CALLES Y ESPACIOS PÚBLICOS </t>
  </si>
  <si>
    <t>Remuneraciones Unificadas Señores Concejales ( Incluye todos los beneficios , incluso vacaciones de los señores Concejales alternos)</t>
  </si>
  <si>
    <t>Señaletica de las Instalaciones</t>
  </si>
  <si>
    <t>7.3.06.05.01</t>
  </si>
  <si>
    <t>Campaña de Comunicaión para la Seguridad Ciudadana</t>
  </si>
  <si>
    <t>CONTRATACIÓN DE ESTUDIOS,INVESTIGACIONES Y SERVICIOS TECNICOS ESPECIALIZADOS</t>
  </si>
  <si>
    <t>Mantenimiento del Pintado del Edificio Parte Interior</t>
  </si>
  <si>
    <t>Reposición  de verjas para jardineras</t>
  </si>
  <si>
    <t>Maquinarias y Equipos   (Pantalla Led)</t>
  </si>
  <si>
    <t>Maquinarias y Equipos  (Reparación de Frajadora y Motos)</t>
  </si>
  <si>
    <t>Vehiculo</t>
  </si>
  <si>
    <t>Exposición Pictorica</t>
  </si>
  <si>
    <t>Taller de Ceramica</t>
  </si>
  <si>
    <t>Dia del Escudo Nacional</t>
  </si>
  <si>
    <t>Dia del Niño " Aprendiendo a Leer "</t>
  </si>
  <si>
    <t>Dia del Himno Nacional</t>
  </si>
  <si>
    <t>II Exposoción Fotografica</t>
  </si>
  <si>
    <t>Obra teatral Ecuatoriana " Polvo y Ceniza "</t>
  </si>
  <si>
    <t>II Feria del Libro Periodista</t>
  </si>
  <si>
    <t>Digitalización de Archivo Historico</t>
  </si>
  <si>
    <t>Fichaje Aanalitico y Catalogación de documentación en el Archivo Historico Municipal</t>
  </si>
  <si>
    <t>Apoyo a Fiestas Populares ( Noche Guapanense, Javier Loyola y Otrtos)Evento Cultural Noche Guapanence</t>
  </si>
  <si>
    <t>Reparción y Mantenimiento de los contenedores y papeleras existentes</t>
  </si>
  <si>
    <t>Instalación de 5 contenedores en mercados</t>
  </si>
  <si>
    <t>Construcción de Planta para instalación del Sistema de Autoclave.</t>
  </si>
  <si>
    <t>Construcción de ductos de gases, drenes de lixiviados,impermeabilización con geomembrana, taludes, cunetas,bordillos, etc.</t>
  </si>
  <si>
    <t>Maquinas y Equipos (Autoclave 300,000.00; Minicargadora 40,000.00)</t>
  </si>
  <si>
    <t>Construcción de Caja Metalica para Proyecto de Esterilización</t>
  </si>
  <si>
    <t>7.3.02.05.01</t>
  </si>
  <si>
    <t>Festival Gastronomico</t>
  </si>
  <si>
    <t>7.3.02.05.02</t>
  </si>
  <si>
    <t>7.3.02.05.03</t>
  </si>
  <si>
    <t>7.3.02.05.04</t>
  </si>
  <si>
    <t>Homenaje a Madres Adultas Mayores Indigentes</t>
  </si>
  <si>
    <t>Agasajo Navideño</t>
  </si>
  <si>
    <t>7.3.02.05.05</t>
  </si>
  <si>
    <t>Feria de la Salud</t>
  </si>
  <si>
    <t>7.3.02.05.06</t>
  </si>
  <si>
    <t>Agasajo por el dia del Niño Canton Azogues</t>
  </si>
  <si>
    <t>Agasajo a Niños y Niñas de paraisos 1,2,3,7</t>
  </si>
  <si>
    <t>GEN</t>
  </si>
  <si>
    <t>C. MEDI</t>
  </si>
  <si>
    <t>ARA</t>
  </si>
  <si>
    <t>BAR.TRANSI</t>
  </si>
  <si>
    <t>ALBERGE</t>
  </si>
  <si>
    <t>ADULTOS</t>
  </si>
  <si>
    <t>DIURNO INFANTIL</t>
  </si>
  <si>
    <t>1,2,3 Y 7</t>
  </si>
  <si>
    <t>COTEMUAZ</t>
  </si>
  <si>
    <t>7.3.02.05.07</t>
  </si>
  <si>
    <t>Proyecto Ceremonia de Confraternidad Cotemuaz</t>
  </si>
  <si>
    <t>PRESUPUESTO DEL AÑO 2017</t>
  </si>
  <si>
    <t>PRESUPUESTO 2017</t>
  </si>
  <si>
    <t>Mantenimiento y Adecentamiento de Mercados</t>
  </si>
  <si>
    <t>CIBV4,5 Y 6</t>
  </si>
  <si>
    <t>Plan de Vivienda</t>
  </si>
  <si>
    <t>Contrucción de Nuevo Mercado</t>
  </si>
  <si>
    <t>Pavimentación e infraestructura hidrosanitaria calle Agustin Aguirre.- Segunda  Etapa</t>
  </si>
  <si>
    <t>PRESUPUESTO DE INGRESOS DEL AÑO 2017</t>
  </si>
  <si>
    <t>PRESUPUESTO DE GASTOS DEL AÑO 2017</t>
  </si>
  <si>
    <t>TRANSFERENCIAS Y DONACIONES CORRIENTES</t>
  </si>
  <si>
    <t>5.8.05</t>
  </si>
  <si>
    <t>Subsidios</t>
  </si>
  <si>
    <t>5.8.05.04</t>
  </si>
  <si>
    <t>De Tarifas a Entes Privados</t>
  </si>
  <si>
    <t>5.8.05.04.01</t>
  </si>
  <si>
    <t>Subsidio Pasajes Grupos Vulnerables</t>
  </si>
  <si>
    <t>Partes y Repuestos</t>
  </si>
  <si>
    <t>Sensibillización sobre clasificación de Residuos( pilas, neumaticos,calidad de aires, ruido, forestación,nomativa vigente,residuos biiopeligrosos)</t>
  </si>
  <si>
    <t>7.5.01.99.009</t>
  </si>
  <si>
    <t>Plan de Manejo Ambiental del Cementerio Patrimonial</t>
  </si>
  <si>
    <t xml:space="preserve">Estudios de Factibilidad Construcción de Aceras y Soterramiento de Cables para las Vias Urbanas de la Ciudad de Azogues. Credito  34857 BDE( 148609.59); Contraparte Municipal (42022.90). </t>
  </si>
  <si>
    <t xml:space="preserve"> Construcción del Complejo Comercial Municipal de la Ciudad de Azogues. Credito 35235 BEDE (4828928.24); Aporte Municipal (1689766.23).</t>
  </si>
  <si>
    <t xml:space="preserve">Programa de Barrido de Calles y Espacios </t>
  </si>
  <si>
    <t>Estudios para plan de Movilidad</t>
  </si>
  <si>
    <t>Proyecto de Matricuilación y Revision Tecnica Vehicular</t>
  </si>
  <si>
    <t>7.3.06.05.02</t>
  </si>
  <si>
    <t>Proyecto de Implementación del Centro de Revision Vehicular</t>
  </si>
  <si>
    <t>7.3.06.05.03</t>
  </si>
  <si>
    <t>Proyecto Colada Morada</t>
  </si>
  <si>
    <t>7.3.02.05.08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</si>
</sst>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 * #,##0.00_ ;_ * \-#,##0.00_ ;_ * &quot;-&quot;??_ ;_ @_ "/>
    <numFmt numFmtId="165" formatCode="_(* #,##0\ &quot;pta&quot;_);_(* \(#,##0\ &quot;pta&quot;\);_(* &quot;-&quot;??\ &quot;pta&quot;_);_(@_)"/>
    <numFmt numFmtId="166" formatCode="#,##0.00000000000000000"/>
    <numFmt numFmtId="167" formatCode="_(* #,##0.0_);_(* \(#,##0.0\);_(* &quot;-&quot;??_);_(@_)"/>
    <numFmt numFmtId="168" formatCode="_ * #,##0.0_ ;_ * \-#,##0.0_ ;_ * &quot;-&quot;??_ ;_ @_ "/>
  </numFmts>
  <fonts count="5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4"/>
      <name val="Century Gothic"/>
      <family val="2"/>
    </font>
    <font>
      <b/>
      <sz val="12"/>
      <name val="Century Gothic"/>
      <family val="2"/>
    </font>
    <font>
      <b/>
      <sz val="10"/>
      <name val="Century Gothic"/>
      <family val="2"/>
    </font>
    <font>
      <b/>
      <i/>
      <sz val="14"/>
      <name val="Century Gothic"/>
      <family val="2"/>
    </font>
    <font>
      <b/>
      <i/>
      <sz val="8"/>
      <name val="Century Gothic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8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8"/>
      <color rgb="FF000000"/>
      <name val="Arial"/>
      <family val="2"/>
    </font>
    <font>
      <sz val="10"/>
      <color rgb="FFFF0000"/>
      <name val="Arial"/>
      <family val="2"/>
    </font>
    <font>
      <sz val="8"/>
      <color rgb="FFFF0000"/>
      <name val="Arial"/>
      <family val="2"/>
    </font>
    <font>
      <sz val="10"/>
      <name val="Century Gothic"/>
      <family val="2"/>
    </font>
    <font>
      <i/>
      <sz val="10"/>
      <name val="Century Gothic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name val="Calibri"/>
      <family val="2"/>
      <scheme val="minor"/>
    </font>
    <font>
      <b/>
      <i/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name val="Arial"/>
      <family val="2"/>
    </font>
    <font>
      <sz val="8"/>
      <color indexed="81"/>
      <name val="Calibri"/>
      <family val="2"/>
      <scheme val="minor"/>
    </font>
    <font>
      <sz val="10"/>
      <name val="Arial"/>
      <family val="2"/>
    </font>
    <font>
      <b/>
      <sz val="8"/>
      <color theme="1"/>
      <name val="Arial"/>
      <family val="2"/>
    </font>
    <font>
      <b/>
      <sz val="8"/>
      <color indexed="10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i/>
      <sz val="8"/>
      <name val="Arial"/>
      <family val="2"/>
    </font>
    <font>
      <b/>
      <i/>
      <sz val="12"/>
      <name val="Century Gothic"/>
      <family val="2"/>
    </font>
    <font>
      <b/>
      <i/>
      <sz val="8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i/>
      <sz val="11"/>
      <name val="Arial"/>
      <family val="2"/>
    </font>
    <font>
      <sz val="6"/>
      <name val="Arial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165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164" fontId="53" fillId="0" borderId="0" applyFont="0" applyFill="0" applyBorder="0" applyAlignment="0" applyProtection="0"/>
  </cellStyleXfs>
  <cellXfs count="572">
    <xf numFmtId="0" fontId="0" fillId="0" borderId="0" xfId="0"/>
    <xf numFmtId="0" fontId="3" fillId="0" borderId="1" xfId="0" applyFont="1" applyBorder="1"/>
    <xf numFmtId="4" fontId="0" fillId="0" borderId="0" xfId="0" applyNumberFormat="1"/>
    <xf numFmtId="0" fontId="3" fillId="0" borderId="2" xfId="0" applyFont="1" applyBorder="1"/>
    <xf numFmtId="0" fontId="0" fillId="0" borderId="0" xfId="0" applyFill="1"/>
    <xf numFmtId="0" fontId="2" fillId="0" borderId="0" xfId="0" applyFont="1" applyFill="1"/>
    <xf numFmtId="0" fontId="0" fillId="0" borderId="0" xfId="0" applyAlignment="1">
      <alignment horizontal="right"/>
    </xf>
    <xf numFmtId="0" fontId="3" fillId="0" borderId="5" xfId="0" applyFont="1" applyBorder="1" applyAlignment="1">
      <alignment horizontal="right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" fontId="2" fillId="0" borderId="0" xfId="0" applyNumberFormat="1" applyFont="1" applyFill="1" applyBorder="1"/>
    <xf numFmtId="0" fontId="4" fillId="0" borderId="0" xfId="0" applyFont="1" applyFill="1"/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4" fontId="0" fillId="0" borderId="0" xfId="0" applyNumberFormat="1" applyFill="1"/>
    <xf numFmtId="0" fontId="3" fillId="0" borderId="7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ill="1" applyAlignment="1">
      <alignment horizontal="right" vertical="top"/>
    </xf>
    <xf numFmtId="0" fontId="0" fillId="0" borderId="0" xfId="0" applyFill="1" applyAlignment="1">
      <alignment wrapText="1"/>
    </xf>
    <xf numFmtId="0" fontId="0" fillId="0" borderId="0" xfId="0" applyBorder="1"/>
    <xf numFmtId="4" fontId="3" fillId="0" borderId="1" xfId="0" applyNumberFormat="1" applyFont="1" applyBorder="1"/>
    <xf numFmtId="0" fontId="0" fillId="0" borderId="0" xfId="0" applyFill="1" applyAlignment="1">
      <alignment vertical="center"/>
    </xf>
    <xf numFmtId="0" fontId="11" fillId="0" borderId="0" xfId="0" applyFont="1" applyFill="1" applyBorder="1"/>
    <xf numFmtId="0" fontId="3" fillId="0" borderId="5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top"/>
    </xf>
    <xf numFmtId="0" fontId="3" fillId="0" borderId="8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0" fontId="0" fillId="0" borderId="0" xfId="0" applyAlignment="1">
      <alignment vertical="center"/>
    </xf>
    <xf numFmtId="0" fontId="5" fillId="0" borderId="0" xfId="0" applyFont="1" applyFill="1"/>
    <xf numFmtId="4" fontId="2" fillId="0" borderId="0" xfId="0" applyNumberFormat="1" applyFont="1" applyFill="1"/>
    <xf numFmtId="4" fontId="3" fillId="0" borderId="0" xfId="0" applyNumberFormat="1" applyFont="1" applyFill="1"/>
    <xf numFmtId="0" fontId="5" fillId="0" borderId="0" xfId="0" applyFont="1" applyFill="1" applyAlignment="1">
      <alignment vertical="center"/>
    </xf>
    <xf numFmtId="4" fontId="5" fillId="0" borderId="0" xfId="0" applyNumberFormat="1" applyFont="1" applyFill="1"/>
    <xf numFmtId="4" fontId="3" fillId="0" borderId="1" xfId="0" applyNumberFormat="1" applyFont="1" applyFill="1" applyBorder="1"/>
    <xf numFmtId="4" fontId="2" fillId="0" borderId="1" xfId="0" applyNumberFormat="1" applyFont="1" applyFill="1" applyBorder="1"/>
    <xf numFmtId="0" fontId="3" fillId="0" borderId="1" xfId="0" applyFont="1" applyFill="1" applyBorder="1" applyAlignment="1">
      <alignment horizontal="right" vertical="top"/>
    </xf>
    <xf numFmtId="2" fontId="3" fillId="0" borderId="1" xfId="0" applyNumberFormat="1" applyFont="1" applyFill="1" applyBorder="1" applyAlignment="1">
      <alignment vertical="center" wrapText="1"/>
    </xf>
    <xf numFmtId="4" fontId="3" fillId="0" borderId="1" xfId="0" applyNumberFormat="1" applyFont="1" applyFill="1" applyBorder="1" applyAlignment="1">
      <alignment vertical="top"/>
    </xf>
    <xf numFmtId="0" fontId="2" fillId="0" borderId="1" xfId="0" applyFont="1" applyFill="1" applyBorder="1" applyAlignment="1">
      <alignment horizontal="right" vertical="top"/>
    </xf>
    <xf numFmtId="2" fontId="2" fillId="0" borderId="1" xfId="0" applyNumberFormat="1" applyFont="1" applyFill="1" applyBorder="1" applyAlignment="1">
      <alignment vertical="center" wrapText="1"/>
    </xf>
    <xf numFmtId="4" fontId="2" fillId="0" borderId="1" xfId="0" applyNumberFormat="1" applyFont="1" applyFill="1" applyBorder="1" applyAlignment="1">
      <alignment vertical="top"/>
    </xf>
    <xf numFmtId="164" fontId="2" fillId="0" borderId="1" xfId="1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3" fillId="0" borderId="1" xfId="0" applyFont="1" applyFill="1" applyBorder="1" applyAlignment="1">
      <alignment horizontal="right" vertical="center"/>
    </xf>
    <xf numFmtId="4" fontId="3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right" vertical="center"/>
    </xf>
    <xf numFmtId="4" fontId="2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horizontal="right"/>
    </xf>
    <xf numFmtId="0" fontId="4" fillId="0" borderId="1" xfId="0" applyFont="1" applyFill="1" applyBorder="1"/>
    <xf numFmtId="0" fontId="3" fillId="0" borderId="1" xfId="0" applyFont="1" applyFill="1" applyBorder="1"/>
    <xf numFmtId="0" fontId="2" fillId="0" borderId="1" xfId="0" applyFont="1" applyFill="1" applyBorder="1" applyAlignment="1">
      <alignment horizontal="right"/>
    </xf>
    <xf numFmtId="0" fontId="2" fillId="0" borderId="1" xfId="0" applyFont="1" applyFill="1" applyBorder="1"/>
    <xf numFmtId="0" fontId="3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164" fontId="2" fillId="0" borderId="1" xfId="1" applyFont="1" applyFill="1" applyBorder="1"/>
    <xf numFmtId="0" fontId="2" fillId="0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right"/>
    </xf>
    <xf numFmtId="0" fontId="2" fillId="0" borderId="1" xfId="0" applyFont="1" applyBorder="1"/>
    <xf numFmtId="4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4" fontId="2" fillId="0" borderId="1" xfId="0" applyNumberFormat="1" applyFont="1" applyFill="1" applyBorder="1" applyAlignment="1">
      <alignment horizontal="right" vertical="center"/>
    </xf>
    <xf numFmtId="0" fontId="3" fillId="0" borderId="2" xfId="0" applyFont="1" applyFill="1" applyBorder="1"/>
    <xf numFmtId="4" fontId="2" fillId="0" borderId="0" xfId="0" applyNumberFormat="1" applyFont="1" applyFill="1" applyBorder="1" applyAlignment="1">
      <alignment vertical="center"/>
    </xf>
    <xf numFmtId="4" fontId="0" fillId="0" borderId="0" xfId="0" applyNumberFormat="1" applyFill="1" applyAlignment="1">
      <alignment vertical="center"/>
    </xf>
    <xf numFmtId="4" fontId="2" fillId="0" borderId="0" xfId="0" applyNumberFormat="1" applyFont="1" applyFill="1" applyAlignment="1">
      <alignment vertical="top"/>
    </xf>
    <xf numFmtId="0" fontId="2" fillId="0" borderId="0" xfId="0" applyFont="1" applyFill="1" applyAlignment="1">
      <alignment vertical="top"/>
    </xf>
    <xf numFmtId="0" fontId="0" fillId="0" borderId="0" xfId="0" applyFill="1" applyAlignment="1">
      <alignment vertical="top"/>
    </xf>
    <xf numFmtId="0" fontId="19" fillId="0" borderId="1" xfId="0" applyFont="1" applyFill="1" applyBorder="1" applyAlignment="1">
      <alignment vertical="center" wrapText="1"/>
    </xf>
    <xf numFmtId="0" fontId="0" fillId="0" borderId="1" xfId="0" applyFill="1" applyBorder="1"/>
    <xf numFmtId="0" fontId="3" fillId="0" borderId="2" xfId="0" applyFont="1" applyFill="1" applyBorder="1" applyAlignment="1">
      <alignment horizontal="right"/>
    </xf>
    <xf numFmtId="0" fontId="2" fillId="0" borderId="0" xfId="0" applyFont="1" applyFill="1" applyAlignment="1">
      <alignment vertical="center"/>
    </xf>
    <xf numFmtId="4" fontId="2" fillId="0" borderId="1" xfId="1" applyNumberFormat="1" applyFont="1" applyFill="1" applyBorder="1" applyAlignment="1">
      <alignment vertical="center"/>
    </xf>
    <xf numFmtId="4" fontId="2" fillId="0" borderId="0" xfId="0" applyNumberFormat="1" applyFont="1" applyFill="1" applyBorder="1" applyAlignment="1">
      <alignment horizontal="right" vertical="center"/>
    </xf>
    <xf numFmtId="4" fontId="2" fillId="0" borderId="0" xfId="0" applyNumberFormat="1" applyFont="1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164" fontId="3" fillId="0" borderId="0" xfId="1" applyFont="1" applyFill="1"/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wrapText="1"/>
    </xf>
    <xf numFmtId="0" fontId="0" fillId="0" borderId="0" xfId="0" applyFill="1" applyAlignment="1">
      <alignment horizontal="right"/>
    </xf>
    <xf numFmtId="164" fontId="0" fillId="0" borderId="0" xfId="1" applyFont="1" applyFill="1"/>
    <xf numFmtId="0" fontId="3" fillId="0" borderId="1" xfId="0" applyFont="1" applyFill="1" applyBorder="1" applyAlignment="1">
      <alignment vertical="center" wrapText="1"/>
    </xf>
    <xf numFmtId="0" fontId="0" fillId="0" borderId="0" xfId="0" applyFill="1" applyAlignment="1">
      <alignment horizontal="right" vertical="center"/>
    </xf>
    <xf numFmtId="0" fontId="2" fillId="0" borderId="0" xfId="0" applyFont="1" applyFill="1" applyBorder="1" applyAlignment="1">
      <alignment horizontal="right"/>
    </xf>
    <xf numFmtId="0" fontId="3" fillId="0" borderId="5" xfId="0" applyFont="1" applyFill="1" applyBorder="1" applyAlignment="1">
      <alignment horizontal="right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wrapText="1"/>
    </xf>
    <xf numFmtId="4" fontId="2" fillId="0" borderId="1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4" fontId="5" fillId="0" borderId="0" xfId="0" applyNumberFormat="1" applyFont="1" applyFill="1" applyAlignment="1">
      <alignment vertical="center"/>
    </xf>
    <xf numFmtId="0" fontId="3" fillId="0" borderId="1" xfId="0" applyFont="1" applyFill="1" applyBorder="1" applyAlignment="1">
      <alignment horizontal="right" vertical="center" wrapText="1"/>
    </xf>
    <xf numFmtId="0" fontId="3" fillId="0" borderId="4" xfId="0" applyFont="1" applyFill="1" applyBorder="1" applyAlignment="1">
      <alignment horizontal="right"/>
    </xf>
    <xf numFmtId="4" fontId="3" fillId="0" borderId="1" xfId="0" applyNumberFormat="1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vertical="center"/>
    </xf>
    <xf numFmtId="4" fontId="0" fillId="0" borderId="0" xfId="0" applyNumberFormat="1" applyFill="1" applyAlignment="1">
      <alignment wrapText="1"/>
    </xf>
    <xf numFmtId="0" fontId="0" fillId="0" borderId="0" xfId="0" applyAlignment="1">
      <alignment wrapText="1"/>
    </xf>
    <xf numFmtId="0" fontId="3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vertical="center" wrapText="1"/>
    </xf>
    <xf numFmtId="164" fontId="2" fillId="0" borderId="1" xfId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0" xfId="0" applyFont="1" applyFill="1" applyAlignment="1">
      <alignment horizontal="right" vertical="top"/>
    </xf>
    <xf numFmtId="2" fontId="2" fillId="0" borderId="0" xfId="0" applyNumberFormat="1" applyFont="1" applyFill="1" applyAlignment="1">
      <alignment vertical="center" wrapText="1"/>
    </xf>
    <xf numFmtId="2" fontId="0" fillId="0" borderId="0" xfId="0" applyNumberFormat="1" applyFill="1" applyAlignment="1">
      <alignment vertical="center" wrapText="1"/>
    </xf>
    <xf numFmtId="0" fontId="3" fillId="0" borderId="7" xfId="0" applyFont="1" applyFill="1" applyBorder="1" applyAlignment="1">
      <alignment horizontal="right"/>
    </xf>
    <xf numFmtId="0" fontId="0" fillId="0" borderId="0" xfId="0" applyFill="1" applyAlignment="1">
      <alignment horizontal="left"/>
    </xf>
    <xf numFmtId="164" fontId="3" fillId="0" borderId="1" xfId="1" applyFont="1" applyFill="1" applyBorder="1"/>
    <xf numFmtId="164" fontId="5" fillId="0" borderId="0" xfId="1" applyFont="1" applyFill="1"/>
    <xf numFmtId="0" fontId="0" fillId="0" borderId="1" xfId="0" applyBorder="1"/>
    <xf numFmtId="164" fontId="0" fillId="0" borderId="0" xfId="1" applyFont="1"/>
    <xf numFmtId="4" fontId="3" fillId="0" borderId="0" xfId="0" applyNumberFormat="1" applyFont="1" applyFill="1" applyAlignment="1">
      <alignment vertical="top"/>
    </xf>
    <xf numFmtId="2" fontId="3" fillId="0" borderId="0" xfId="0" applyNumberFormat="1" applyFont="1" applyFill="1" applyAlignment="1">
      <alignment vertical="center" wrapText="1"/>
    </xf>
    <xf numFmtId="2" fontId="3" fillId="0" borderId="1" xfId="0" applyNumberFormat="1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top"/>
    </xf>
    <xf numFmtId="4" fontId="3" fillId="0" borderId="0" xfId="0" applyNumberFormat="1" applyFont="1" applyFill="1" applyBorder="1"/>
    <xf numFmtId="4" fontId="3" fillId="0" borderId="0" xfId="0" applyNumberFormat="1" applyFont="1" applyFill="1" applyBorder="1" applyAlignment="1">
      <alignment vertical="top"/>
    </xf>
    <xf numFmtId="164" fontId="3" fillId="0" borderId="8" xfId="1" applyFont="1" applyFill="1" applyBorder="1" applyAlignment="1">
      <alignment horizontal="center" vertical="top"/>
    </xf>
    <xf numFmtId="4" fontId="0" fillId="0" borderId="0" xfId="0" applyNumberFormat="1" applyFill="1" applyBorder="1"/>
    <xf numFmtId="0" fontId="3" fillId="0" borderId="0" xfId="0" applyFont="1" applyFill="1" applyBorder="1"/>
    <xf numFmtId="4" fontId="3" fillId="0" borderId="1" xfId="0" applyNumberFormat="1" applyFont="1" applyFill="1" applyBorder="1" applyAlignment="1">
      <alignment horizontal="center" vertical="top"/>
    </xf>
    <xf numFmtId="4" fontId="2" fillId="0" borderId="1" xfId="0" applyNumberFormat="1" applyFont="1" applyBorder="1"/>
    <xf numFmtId="0" fontId="5" fillId="0" borderId="0" xfId="0" applyFont="1" applyFill="1" applyBorder="1"/>
    <xf numFmtId="164" fontId="3" fillId="0" borderId="1" xfId="1" applyFont="1" applyFill="1" applyBorder="1" applyAlignment="1">
      <alignment horizontal="center" vertical="top"/>
    </xf>
    <xf numFmtId="0" fontId="9" fillId="0" borderId="0" xfId="0" applyFont="1" applyFill="1" applyBorder="1" applyAlignment="1">
      <alignment vertical="top"/>
    </xf>
    <xf numFmtId="0" fontId="5" fillId="0" borderId="0" xfId="0" applyFont="1"/>
    <xf numFmtId="43" fontId="0" fillId="0" borderId="0" xfId="0" applyNumberFormat="1"/>
    <xf numFmtId="0" fontId="5" fillId="0" borderId="0" xfId="0" applyFont="1" applyFill="1" applyAlignment="1">
      <alignment vertical="top"/>
    </xf>
    <xf numFmtId="4" fontId="5" fillId="0" borderId="0" xfId="0" applyNumberFormat="1" applyFont="1" applyFill="1" applyBorder="1"/>
    <xf numFmtId="0" fontId="2" fillId="0" borderId="0" xfId="0" applyFont="1" applyFill="1" applyBorder="1" applyAlignment="1">
      <alignment horizontal="right" vertical="top"/>
    </xf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right"/>
    </xf>
    <xf numFmtId="0" fontId="22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Fill="1" applyBorder="1"/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1" fillId="2" borderId="0" xfId="0" applyFont="1" applyFill="1" applyBorder="1"/>
    <xf numFmtId="4" fontId="21" fillId="0" borderId="1" xfId="0" applyNumberFormat="1" applyFont="1" applyFill="1" applyBorder="1"/>
    <xf numFmtId="4" fontId="0" fillId="0" borderId="0" xfId="0" applyNumberFormat="1" applyFill="1" applyBorder="1" applyAlignment="1">
      <alignment wrapText="1"/>
    </xf>
    <xf numFmtId="2" fontId="17" fillId="0" borderId="1" xfId="0" applyNumberFormat="1" applyFont="1" applyFill="1" applyBorder="1" applyAlignment="1">
      <alignment vertical="center" wrapText="1"/>
    </xf>
    <xf numFmtId="0" fontId="20" fillId="0" borderId="0" xfId="0" applyFont="1"/>
    <xf numFmtId="0" fontId="20" fillId="0" borderId="0" xfId="0" applyFont="1" applyAlignment="1">
      <alignment vertical="center"/>
    </xf>
    <xf numFmtId="164" fontId="0" fillId="0" borderId="0" xfId="1" applyFont="1" applyAlignment="1">
      <alignment vertical="center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right"/>
    </xf>
    <xf numFmtId="4" fontId="2" fillId="2" borderId="1" xfId="0" applyNumberFormat="1" applyFont="1" applyFill="1" applyBorder="1" applyAlignment="1">
      <alignment vertical="center"/>
    </xf>
    <xf numFmtId="4" fontId="2" fillId="2" borderId="1" xfId="0" applyNumberFormat="1" applyFont="1" applyFill="1" applyBorder="1"/>
    <xf numFmtId="4" fontId="2" fillId="2" borderId="1" xfId="0" applyNumberFormat="1" applyFont="1" applyFill="1" applyBorder="1" applyAlignment="1">
      <alignment vertical="top"/>
    </xf>
    <xf numFmtId="4" fontId="3" fillId="2" borderId="1" xfId="0" applyNumberFormat="1" applyFont="1" applyFill="1" applyBorder="1" applyAlignment="1">
      <alignment vertical="top"/>
    </xf>
    <xf numFmtId="4" fontId="2" fillId="2" borderId="1" xfId="0" applyNumberFormat="1" applyFont="1" applyFill="1" applyBorder="1" applyAlignment="1">
      <alignment wrapText="1"/>
    </xf>
    <xf numFmtId="164" fontId="2" fillId="0" borderId="0" xfId="1" applyFont="1" applyFill="1" applyAlignment="1">
      <alignment vertical="center"/>
    </xf>
    <xf numFmtId="164" fontId="2" fillId="0" borderId="0" xfId="1" applyFont="1" applyFill="1"/>
    <xf numFmtId="164" fontId="0" fillId="0" borderId="0" xfId="1" applyFont="1" applyFill="1" applyAlignment="1">
      <alignment vertical="center"/>
    </xf>
    <xf numFmtId="4" fontId="0" fillId="0" borderId="0" xfId="0" applyNumberFormat="1" applyAlignment="1">
      <alignment wrapText="1"/>
    </xf>
    <xf numFmtId="4" fontId="26" fillId="0" borderId="0" xfId="0" applyNumberFormat="1" applyFont="1" applyBorder="1" applyAlignment="1">
      <alignment wrapText="1"/>
    </xf>
    <xf numFmtId="0" fontId="27" fillId="0" borderId="0" xfId="0" applyFont="1" applyBorder="1"/>
    <xf numFmtId="0" fontId="28" fillId="0" borderId="0" xfId="0" applyFont="1"/>
    <xf numFmtId="4" fontId="28" fillId="0" borderId="0" xfId="0" applyNumberFormat="1" applyFont="1"/>
    <xf numFmtId="0" fontId="28" fillId="0" borderId="0" xfId="0" applyFont="1" applyFill="1"/>
    <xf numFmtId="0" fontId="28" fillId="0" borderId="0" xfId="0" applyFont="1" applyAlignment="1">
      <alignment horizontal="right"/>
    </xf>
    <xf numFmtId="4" fontId="28" fillId="0" borderId="0" xfId="0" applyNumberFormat="1" applyFont="1" applyAlignment="1">
      <alignment wrapText="1"/>
    </xf>
    <xf numFmtId="0" fontId="28" fillId="0" borderId="0" xfId="0" applyFont="1" applyBorder="1"/>
    <xf numFmtId="0" fontId="29" fillId="0" borderId="0" xfId="0" applyFont="1" applyBorder="1"/>
    <xf numFmtId="0" fontId="33" fillId="0" borderId="0" xfId="0" applyFont="1" applyBorder="1" applyAlignment="1">
      <alignment horizontal="left"/>
    </xf>
    <xf numFmtId="164" fontId="29" fillId="0" borderId="0" xfId="1" applyFont="1" applyFill="1" applyBorder="1" applyAlignment="1">
      <alignment vertical="top"/>
    </xf>
    <xf numFmtId="0" fontId="28" fillId="0" borderId="0" xfId="0" applyFont="1" applyFill="1" applyBorder="1" applyAlignment="1">
      <alignment horizontal="left"/>
    </xf>
    <xf numFmtId="0" fontId="33" fillId="0" borderId="0" xfId="0" applyFont="1" applyFill="1" applyBorder="1" applyAlignment="1">
      <alignment horizontal="left" vertical="top"/>
    </xf>
    <xf numFmtId="0" fontId="28" fillId="0" borderId="0" xfId="0" applyFont="1" applyFill="1" applyBorder="1" applyAlignment="1">
      <alignment horizontal="left" vertical="center" wrapText="1"/>
    </xf>
    <xf numFmtId="4" fontId="34" fillId="0" borderId="0" xfId="0" applyNumberFormat="1" applyFont="1" applyFill="1" applyBorder="1" applyAlignment="1">
      <alignment horizontal="left" vertical="center"/>
    </xf>
    <xf numFmtId="0" fontId="34" fillId="0" borderId="0" xfId="0" applyFont="1" applyFill="1" applyBorder="1" applyAlignment="1">
      <alignment horizontal="left" vertical="center"/>
    </xf>
    <xf numFmtId="4" fontId="26" fillId="0" borderId="0" xfId="0" applyNumberFormat="1" applyFont="1" applyFill="1" applyBorder="1" applyAlignment="1">
      <alignment horizontal="right" vertical="center"/>
    </xf>
    <xf numFmtId="0" fontId="26" fillId="0" borderId="0" xfId="0" applyFont="1" applyFill="1" applyBorder="1" applyAlignment="1">
      <alignment vertical="center" wrapText="1"/>
    </xf>
    <xf numFmtId="4" fontId="26" fillId="0" borderId="0" xfId="0" applyNumberFormat="1" applyFont="1" applyFill="1" applyBorder="1" applyAlignment="1">
      <alignment vertical="center"/>
    </xf>
    <xf numFmtId="4" fontId="30" fillId="0" borderId="0" xfId="0" applyNumberFormat="1" applyFont="1" applyFill="1" applyBorder="1" applyAlignment="1">
      <alignment vertical="center"/>
    </xf>
    <xf numFmtId="4" fontId="26" fillId="2" borderId="0" xfId="0" applyNumberFormat="1" applyFont="1" applyFill="1" applyBorder="1" applyAlignment="1">
      <alignment vertical="center"/>
    </xf>
    <xf numFmtId="43" fontId="36" fillId="0" borderId="0" xfId="1" applyNumberFormat="1" applyFont="1"/>
    <xf numFmtId="4" fontId="26" fillId="0" borderId="0" xfId="0" applyNumberFormat="1" applyFont="1" applyFill="1" applyBorder="1"/>
    <xf numFmtId="0" fontId="2" fillId="0" borderId="1" xfId="0" applyFont="1" applyBorder="1" applyAlignment="1">
      <alignment horizontal="justify" vertical="center"/>
    </xf>
    <xf numFmtId="4" fontId="3" fillId="0" borderId="1" xfId="0" applyNumberFormat="1" applyFont="1" applyBorder="1" applyAlignment="1">
      <alignment horizontal="center" wrapText="1"/>
    </xf>
    <xf numFmtId="4" fontId="3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horizontal="right"/>
    </xf>
    <xf numFmtId="4" fontId="2" fillId="0" borderId="1" xfId="0" applyNumberFormat="1" applyFont="1" applyBorder="1" applyAlignment="1">
      <alignment wrapText="1"/>
    </xf>
    <xf numFmtId="2" fontId="2" fillId="0" borderId="1" xfId="0" applyNumberFormat="1" applyFont="1" applyFill="1" applyBorder="1" applyAlignment="1">
      <alignment horizontal="left" vertical="center" wrapText="1"/>
    </xf>
    <xf numFmtId="4" fontId="2" fillId="0" borderId="1" xfId="0" applyNumberFormat="1" applyFont="1" applyFill="1" applyBorder="1" applyAlignment="1">
      <alignment horizontal="left"/>
    </xf>
    <xf numFmtId="4" fontId="21" fillId="0" borderId="1" xfId="0" applyNumberFormat="1" applyFont="1" applyFill="1" applyBorder="1" applyAlignment="1">
      <alignment vertical="center"/>
    </xf>
    <xf numFmtId="164" fontId="21" fillId="0" borderId="0" xfId="1" applyFont="1" applyFill="1" applyAlignment="1">
      <alignment vertical="center"/>
    </xf>
    <xf numFmtId="0" fontId="20" fillId="0" borderId="0" xfId="0" applyFont="1" applyFill="1" applyAlignment="1">
      <alignment vertical="center"/>
    </xf>
    <xf numFmtId="4" fontId="0" fillId="0" borderId="0" xfId="0" applyNumberFormat="1" applyFill="1" applyAlignment="1">
      <alignment horizontal="center"/>
    </xf>
    <xf numFmtId="4" fontId="2" fillId="0" borderId="0" xfId="0" applyNumberFormat="1" applyFont="1" applyFill="1" applyBorder="1" applyAlignment="1">
      <alignment vertical="top"/>
    </xf>
    <xf numFmtId="164" fontId="2" fillId="0" borderId="0" xfId="1" applyFont="1" applyFill="1" applyAlignment="1">
      <alignment horizontal="right"/>
    </xf>
    <xf numFmtId="0" fontId="2" fillId="0" borderId="1" xfId="0" applyFont="1" applyFill="1" applyBorder="1" applyAlignment="1">
      <alignment horizontal="left" vertical="top" wrapText="1"/>
    </xf>
    <xf numFmtId="4" fontId="21" fillId="0" borderId="0" xfId="0" applyNumberFormat="1" applyFont="1" applyFill="1"/>
    <xf numFmtId="0" fontId="21" fillId="0" borderId="0" xfId="0" applyFont="1" applyFill="1"/>
    <xf numFmtId="0" fontId="20" fillId="0" borderId="0" xfId="0" applyFont="1" applyFill="1"/>
    <xf numFmtId="0" fontId="2" fillId="0" borderId="1" xfId="0" applyFont="1" applyFill="1" applyBorder="1" applyAlignment="1">
      <alignment horizontal="right" vertical="center" wrapText="1"/>
    </xf>
    <xf numFmtId="0" fontId="1" fillId="0" borderId="0" xfId="0" applyFont="1" applyFill="1"/>
    <xf numFmtId="4" fontId="3" fillId="0" borderId="1" xfId="0" applyNumberFormat="1" applyFont="1" applyFill="1" applyBorder="1" applyAlignment="1">
      <alignment vertical="center" wrapText="1"/>
    </xf>
    <xf numFmtId="4" fontId="0" fillId="0" borderId="0" xfId="0" applyNumberFormat="1" applyBorder="1"/>
    <xf numFmtId="4" fontId="3" fillId="2" borderId="1" xfId="0" applyNumberFormat="1" applyFont="1" applyFill="1" applyBorder="1"/>
    <xf numFmtId="164" fontId="3" fillId="0" borderId="1" xfId="0" applyNumberFormat="1" applyFont="1" applyFill="1" applyBorder="1" applyAlignment="1">
      <alignment vertical="top"/>
    </xf>
    <xf numFmtId="4" fontId="30" fillId="0" borderId="0" xfId="0" applyNumberFormat="1" applyFont="1" applyFill="1" applyBorder="1"/>
    <xf numFmtId="4" fontId="21" fillId="0" borderId="1" xfId="0" applyNumberFormat="1" applyFont="1" applyFill="1" applyBorder="1" applyAlignment="1">
      <alignment vertical="top"/>
    </xf>
    <xf numFmtId="43" fontId="24" fillId="0" borderId="7" xfId="1" applyNumberFormat="1" applyFont="1" applyFill="1" applyBorder="1" applyAlignment="1">
      <alignment horizontal="right"/>
    </xf>
    <xf numFmtId="4" fontId="24" fillId="0" borderId="1" xfId="0" applyNumberFormat="1" applyFont="1" applyFill="1" applyBorder="1"/>
    <xf numFmtId="0" fontId="1" fillId="0" borderId="0" xfId="0" applyFont="1" applyFill="1" applyAlignment="1">
      <alignment vertical="center"/>
    </xf>
    <xf numFmtId="0" fontId="40" fillId="0" borderId="1" xfId="0" applyFont="1" applyFill="1" applyBorder="1" applyAlignment="1">
      <alignment horizontal="right"/>
    </xf>
    <xf numFmtId="0" fontId="40" fillId="0" borderId="1" xfId="0" applyFont="1" applyFill="1" applyBorder="1"/>
    <xf numFmtId="0" fontId="24" fillId="0" borderId="1" xfId="0" applyFont="1" applyFill="1" applyBorder="1" applyAlignment="1">
      <alignment horizontal="right"/>
    </xf>
    <xf numFmtId="0" fontId="24" fillId="0" borderId="1" xfId="0" applyFont="1" applyFill="1" applyBorder="1"/>
    <xf numFmtId="164" fontId="2" fillId="0" borderId="1" xfId="0" applyNumberFormat="1" applyFont="1" applyFill="1" applyBorder="1" applyAlignment="1">
      <alignment vertical="top"/>
    </xf>
    <xf numFmtId="0" fontId="3" fillId="0" borderId="1" xfId="0" applyFont="1" applyFill="1" applyBorder="1" applyAlignment="1">
      <alignment vertical="top"/>
    </xf>
    <xf numFmtId="43" fontId="2" fillId="0" borderId="9" xfId="1" applyNumberFormat="1" applyFont="1" applyFill="1" applyBorder="1" applyAlignment="1">
      <alignment horizontal="right" vertical="center"/>
    </xf>
    <xf numFmtId="164" fontId="2" fillId="0" borderId="1" xfId="1" applyFont="1" applyFill="1" applyBorder="1" applyAlignment="1">
      <alignment horizontal="right"/>
    </xf>
    <xf numFmtId="0" fontId="29" fillId="0" borderId="0" xfId="0" applyFont="1" applyFill="1" applyBorder="1" applyAlignment="1">
      <alignment horizontal="center" vertical="top"/>
    </xf>
    <xf numFmtId="39" fontId="2" fillId="0" borderId="1" xfId="0" applyNumberFormat="1" applyFont="1" applyFill="1" applyBorder="1" applyAlignment="1">
      <alignment wrapText="1"/>
    </xf>
    <xf numFmtId="4" fontId="26" fillId="0" borderId="0" xfId="0" applyNumberFormat="1" applyFont="1" applyFill="1"/>
    <xf numFmtId="164" fontId="2" fillId="0" borderId="1" xfId="1" applyNumberFormat="1" applyFont="1" applyFill="1" applyBorder="1" applyAlignment="1">
      <alignment horizontal="right"/>
    </xf>
    <xf numFmtId="164" fontId="2" fillId="0" borderId="1" xfId="1" applyNumberFormat="1" applyFont="1" applyFill="1" applyBorder="1" applyAlignment="1">
      <alignment vertical="top"/>
    </xf>
    <xf numFmtId="164" fontId="2" fillId="0" borderId="0" xfId="1" applyFont="1" applyFill="1" applyBorder="1"/>
    <xf numFmtId="164" fontId="2" fillId="0" borderId="0" xfId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2" fontId="2" fillId="0" borderId="0" xfId="0" applyNumberFormat="1" applyFont="1" applyFill="1" applyBorder="1" applyAlignment="1">
      <alignment vertical="center" wrapText="1"/>
    </xf>
    <xf numFmtId="0" fontId="30" fillId="0" borderId="0" xfId="0" applyFont="1" applyFill="1" applyBorder="1" applyAlignment="1">
      <alignment horizontal="center" wrapText="1"/>
    </xf>
    <xf numFmtId="0" fontId="26" fillId="0" borderId="0" xfId="0" quotePrefix="1" applyFont="1" applyBorder="1" applyAlignment="1">
      <alignment horizontal="right"/>
    </xf>
    <xf numFmtId="0" fontId="26" fillId="0" borderId="0" xfId="0" applyFont="1" applyBorder="1" applyAlignment="1">
      <alignment horizontal="right"/>
    </xf>
    <xf numFmtId="0" fontId="30" fillId="0" borderId="0" xfId="0" applyFont="1" applyBorder="1" applyAlignment="1">
      <alignment horizontal="right"/>
    </xf>
    <xf numFmtId="4" fontId="30" fillId="0" borderId="0" xfId="0" applyNumberFormat="1" applyFont="1" applyBorder="1" applyAlignment="1">
      <alignment horizontal="center" wrapText="1"/>
    </xf>
    <xf numFmtId="0" fontId="30" fillId="0" borderId="0" xfId="2" applyFont="1" applyFill="1" applyBorder="1" applyAlignment="1">
      <alignment horizontal="center" vertical="top" wrapText="1"/>
    </xf>
    <xf numFmtId="4" fontId="30" fillId="0" borderId="0" xfId="0" applyNumberFormat="1" applyFont="1" applyBorder="1" applyAlignment="1">
      <alignment wrapText="1"/>
    </xf>
    <xf numFmtId="4" fontId="30" fillId="0" borderId="0" xfId="0" applyNumberFormat="1" applyFont="1" applyBorder="1"/>
    <xf numFmtId="0" fontId="26" fillId="0" borderId="0" xfId="0" applyFont="1" applyBorder="1"/>
    <xf numFmtId="0" fontId="26" fillId="0" borderId="0" xfId="0" applyFont="1" applyFill="1" applyBorder="1" applyAlignment="1">
      <alignment horizontal="right" vertical="top"/>
    </xf>
    <xf numFmtId="2" fontId="26" fillId="0" borderId="0" xfId="0" applyNumberFormat="1" applyFont="1" applyFill="1" applyBorder="1" applyAlignment="1">
      <alignment vertical="center" wrapText="1"/>
    </xf>
    <xf numFmtId="164" fontId="26" fillId="0" borderId="0" xfId="1" applyFont="1" applyFill="1" applyBorder="1"/>
    <xf numFmtId="164" fontId="26" fillId="0" borderId="0" xfId="1" applyFont="1" applyBorder="1"/>
    <xf numFmtId="0" fontId="30" fillId="0" borderId="0" xfId="0" applyFont="1" applyFill="1" applyBorder="1" applyAlignment="1">
      <alignment horizontal="right" vertical="top"/>
    </xf>
    <xf numFmtId="2" fontId="30" fillId="0" borderId="0" xfId="0" applyNumberFormat="1" applyFont="1" applyFill="1" applyBorder="1" applyAlignment="1">
      <alignment vertical="center" wrapText="1"/>
    </xf>
    <xf numFmtId="164" fontId="26" fillId="0" borderId="0" xfId="1" applyFont="1" applyFill="1" applyBorder="1" applyAlignment="1">
      <alignment vertical="top"/>
    </xf>
    <xf numFmtId="164" fontId="30" fillId="0" borderId="0" xfId="1" applyFont="1" applyFill="1" applyBorder="1" applyAlignment="1">
      <alignment vertical="top"/>
    </xf>
    <xf numFmtId="0" fontId="30" fillId="0" borderId="0" xfId="0" applyFont="1" applyFill="1" applyBorder="1" applyAlignment="1">
      <alignment horizontal="right"/>
    </xf>
    <xf numFmtId="0" fontId="30" fillId="0" borderId="0" xfId="0" applyFont="1" applyFill="1" applyBorder="1"/>
    <xf numFmtId="0" fontId="26" fillId="0" borderId="0" xfId="0" applyFont="1" applyFill="1" applyBorder="1" applyAlignment="1">
      <alignment horizontal="right"/>
    </xf>
    <xf numFmtId="0" fontId="26" fillId="0" borderId="0" xfId="0" applyFont="1" applyFill="1" applyBorder="1"/>
    <xf numFmtId="164" fontId="30" fillId="0" borderId="0" xfId="1" applyFont="1" applyBorder="1"/>
    <xf numFmtId="0" fontId="26" fillId="2" borderId="0" xfId="0" applyFont="1" applyFill="1" applyBorder="1" applyAlignment="1">
      <alignment horizontal="right"/>
    </xf>
    <xf numFmtId="4" fontId="26" fillId="2" borderId="0" xfId="0" applyNumberFormat="1" applyFont="1" applyFill="1" applyBorder="1" applyAlignment="1">
      <alignment wrapText="1"/>
    </xf>
    <xf numFmtId="164" fontId="26" fillId="2" borderId="0" xfId="1" applyFont="1" applyFill="1" applyBorder="1"/>
    <xf numFmtId="0" fontId="32" fillId="0" borderId="0" xfId="0" applyFont="1" applyFill="1" applyBorder="1" applyAlignment="1">
      <alignment horizontal="right"/>
    </xf>
    <xf numFmtId="0" fontId="32" fillId="0" borderId="0" xfId="0" applyFont="1" applyFill="1" applyBorder="1"/>
    <xf numFmtId="0" fontId="26" fillId="0" borderId="0" xfId="0" applyFont="1" applyFill="1" applyBorder="1" applyAlignment="1">
      <alignment horizontal="right" vertical="center"/>
    </xf>
    <xf numFmtId="0" fontId="28" fillId="0" borderId="0" xfId="0" applyFont="1" applyBorder="1" applyAlignment="1">
      <alignment horizontal="right"/>
    </xf>
    <xf numFmtId="4" fontId="28" fillId="0" borderId="0" xfId="0" applyNumberFormat="1" applyFont="1" applyBorder="1" applyAlignment="1">
      <alignment wrapText="1"/>
    </xf>
    <xf numFmtId="0" fontId="33" fillId="0" borderId="0" xfId="0" applyFont="1" applyBorder="1"/>
    <xf numFmtId="4" fontId="28" fillId="0" borderId="0" xfId="0" applyNumberFormat="1" applyFont="1" applyBorder="1"/>
    <xf numFmtId="0" fontId="33" fillId="0" borderId="0" xfId="0" applyFont="1" applyBorder="1" applyAlignment="1">
      <alignment horizontal="right"/>
    </xf>
    <xf numFmtId="0" fontId="30" fillId="2" borderId="0" xfId="0" applyFont="1" applyFill="1" applyBorder="1" applyAlignment="1">
      <alignment wrapText="1"/>
    </xf>
    <xf numFmtId="0" fontId="29" fillId="2" borderId="0" xfId="0" applyFont="1" applyFill="1" applyBorder="1"/>
    <xf numFmtId="164" fontId="29" fillId="0" borderId="0" xfId="1" applyFont="1" applyFill="1" applyBorder="1" applyAlignment="1">
      <alignment horizontal="right" vertical="top"/>
    </xf>
    <xf numFmtId="0" fontId="30" fillId="0" borderId="0" xfId="0" applyFont="1" applyFill="1" applyBorder="1" applyAlignment="1">
      <alignment horizontal="center" vertical="top"/>
    </xf>
    <xf numFmtId="2" fontId="30" fillId="0" borderId="0" xfId="0" applyNumberFormat="1" applyFont="1" applyFill="1" applyBorder="1" applyAlignment="1">
      <alignment horizontal="center" vertical="center" wrapText="1"/>
    </xf>
    <xf numFmtId="4" fontId="30" fillId="0" borderId="0" xfId="0" applyNumberFormat="1" applyFont="1" applyFill="1" applyBorder="1" applyAlignment="1">
      <alignment vertical="top"/>
    </xf>
    <xf numFmtId="4" fontId="30" fillId="2" borderId="0" xfId="0" applyNumberFormat="1" applyFont="1" applyFill="1" applyBorder="1"/>
    <xf numFmtId="4" fontId="26" fillId="0" borderId="0" xfId="0" applyNumberFormat="1" applyFont="1" applyFill="1" applyBorder="1" applyAlignment="1">
      <alignment vertical="top"/>
    </xf>
    <xf numFmtId="43" fontId="25" fillId="2" borderId="0" xfId="1" applyNumberFormat="1" applyFont="1" applyFill="1" applyBorder="1"/>
    <xf numFmtId="0" fontId="30" fillId="0" borderId="0" xfId="0" applyFont="1" applyFill="1" applyBorder="1" applyAlignment="1">
      <alignment horizontal="right" vertical="center"/>
    </xf>
    <xf numFmtId="4" fontId="26" fillId="2" borderId="0" xfId="0" applyNumberFormat="1" applyFont="1" applyFill="1" applyBorder="1"/>
    <xf numFmtId="4" fontId="26" fillId="2" borderId="0" xfId="0" applyNumberFormat="1" applyFont="1" applyFill="1" applyBorder="1" applyAlignment="1">
      <alignment vertical="top"/>
    </xf>
    <xf numFmtId="0" fontId="29" fillId="2" borderId="0" xfId="0" applyFont="1" applyFill="1" applyBorder="1" applyAlignment="1">
      <alignment horizontal="center" vertical="top"/>
    </xf>
    <xf numFmtId="0" fontId="33" fillId="0" borderId="0" xfId="0" applyFont="1" applyFill="1" applyBorder="1" applyAlignment="1">
      <alignment horizontal="right" vertical="top"/>
    </xf>
    <xf numFmtId="0" fontId="33" fillId="2" borderId="0" xfId="0" applyFont="1" applyFill="1" applyBorder="1" applyAlignment="1">
      <alignment horizontal="left" vertical="top"/>
    </xf>
    <xf numFmtId="0" fontId="28" fillId="0" borderId="0" xfId="0" applyFont="1" applyFill="1" applyBorder="1" applyAlignment="1">
      <alignment horizontal="right" vertical="center"/>
    </xf>
    <xf numFmtId="0" fontId="34" fillId="2" borderId="0" xfId="0" applyFont="1" applyFill="1" applyBorder="1" applyAlignment="1">
      <alignment horizontal="left" vertical="center"/>
    </xf>
    <xf numFmtId="0" fontId="35" fillId="0" borderId="0" xfId="0" applyFont="1" applyFill="1" applyBorder="1" applyAlignment="1">
      <alignment horizontal="right" vertical="center"/>
    </xf>
    <xf numFmtId="0" fontId="35" fillId="2" borderId="0" xfId="0" applyFont="1" applyFill="1" applyBorder="1" applyAlignment="1">
      <alignment horizontal="right" vertical="center"/>
    </xf>
    <xf numFmtId="0" fontId="30" fillId="0" borderId="0" xfId="0" applyFont="1" applyBorder="1" applyAlignment="1">
      <alignment horizontal="center" vertical="center"/>
    </xf>
    <xf numFmtId="0" fontId="30" fillId="0" borderId="0" xfId="0" applyFont="1" applyFill="1" applyBorder="1" applyAlignment="1">
      <alignment vertical="center" wrapText="1"/>
    </xf>
    <xf numFmtId="4" fontId="30" fillId="2" borderId="0" xfId="0" applyNumberFormat="1" applyFont="1" applyFill="1" applyBorder="1" applyAlignment="1">
      <alignment vertical="center"/>
    </xf>
    <xf numFmtId="4" fontId="26" fillId="0" borderId="0" xfId="1" applyNumberFormat="1" applyFont="1" applyFill="1" applyBorder="1" applyAlignment="1">
      <alignment vertical="center"/>
    </xf>
    <xf numFmtId="4" fontId="32" fillId="0" borderId="0" xfId="0" applyNumberFormat="1" applyFont="1" applyFill="1" applyBorder="1" applyAlignment="1">
      <alignment vertical="center"/>
    </xf>
    <xf numFmtId="0" fontId="26" fillId="2" borderId="0" xfId="0" applyFont="1" applyFill="1" applyBorder="1" applyAlignment="1">
      <alignment horizontal="right" vertical="center"/>
    </xf>
    <xf numFmtId="0" fontId="26" fillId="0" borderId="0" xfId="0" applyFont="1" applyFill="1" applyBorder="1" applyAlignment="1">
      <alignment horizontal="left" vertical="center" wrapText="1"/>
    </xf>
    <xf numFmtId="4" fontId="26" fillId="0" borderId="0" xfId="0" applyNumberFormat="1" applyFont="1" applyFill="1" applyBorder="1" applyAlignment="1">
      <alignment vertical="center" wrapText="1"/>
    </xf>
    <xf numFmtId="4" fontId="26" fillId="0" borderId="0" xfId="0" applyNumberFormat="1" applyFont="1" applyFill="1" applyBorder="1" applyAlignment="1">
      <alignment horizontal="right" vertical="center" wrapText="1"/>
    </xf>
    <xf numFmtId="4" fontId="26" fillId="0" borderId="0" xfId="0" applyNumberFormat="1" applyFont="1" applyBorder="1"/>
    <xf numFmtId="43" fontId="32" fillId="0" borderId="0" xfId="0" applyNumberFormat="1" applyFont="1" applyBorder="1"/>
    <xf numFmtId="0" fontId="0" fillId="0" borderId="0" xfId="0" applyBorder="1" applyAlignment="1">
      <alignment horizontal="right"/>
    </xf>
    <xf numFmtId="4" fontId="0" fillId="0" borderId="0" xfId="0" applyNumberFormat="1" applyBorder="1" applyAlignment="1">
      <alignment wrapText="1"/>
    </xf>
    <xf numFmtId="0" fontId="2" fillId="0" borderId="0" xfId="0" applyFont="1"/>
    <xf numFmtId="4" fontId="2" fillId="0" borderId="0" xfId="0" applyNumberFormat="1" applyFont="1"/>
    <xf numFmtId="0" fontId="41" fillId="0" borderId="0" xfId="0" applyFont="1"/>
    <xf numFmtId="4" fontId="41" fillId="0" borderId="0" xfId="0" applyNumberFormat="1" applyFont="1"/>
    <xf numFmtId="164" fontId="2" fillId="0" borderId="0" xfId="4" applyNumberFormat="1" applyFont="1"/>
    <xf numFmtId="0" fontId="2" fillId="0" borderId="16" xfId="0" applyFont="1" applyFill="1" applyBorder="1" applyAlignment="1" applyProtection="1">
      <alignment horizontal="center" wrapText="1"/>
      <protection locked="0"/>
    </xf>
    <xf numFmtId="0" fontId="2" fillId="0" borderId="17" xfId="0" applyFont="1" applyFill="1" applyBorder="1" applyAlignment="1" applyProtection="1">
      <alignment horizontal="center" wrapText="1"/>
      <protection locked="0"/>
    </xf>
    <xf numFmtId="0" fontId="2" fillId="0" borderId="0" xfId="0" applyFont="1" applyFill="1" applyBorder="1" applyAlignment="1" applyProtection="1">
      <alignment horizontal="center" wrapText="1"/>
      <protection locked="0"/>
    </xf>
    <xf numFmtId="0" fontId="2" fillId="0" borderId="0" xfId="0" applyFont="1" applyProtection="1">
      <protection locked="0"/>
    </xf>
    <xf numFmtId="4" fontId="2" fillId="0" borderId="0" xfId="0" applyNumberFormat="1" applyFont="1" applyProtection="1">
      <protection locked="0"/>
    </xf>
    <xf numFmtId="4" fontId="2" fillId="0" borderId="0" xfId="0" applyNumberFormat="1" applyFont="1" applyFill="1" applyProtection="1">
      <protection locked="0"/>
    </xf>
    <xf numFmtId="0" fontId="2" fillId="0" borderId="0" xfId="0" applyFont="1" applyFill="1" applyProtection="1">
      <protection locked="0"/>
    </xf>
    <xf numFmtId="0" fontId="2" fillId="0" borderId="0" xfId="0" applyFont="1" applyAlignment="1"/>
    <xf numFmtId="0" fontId="2" fillId="0" borderId="0" xfId="0" applyFont="1" applyBorder="1" applyAlignment="1"/>
    <xf numFmtId="164" fontId="0" fillId="0" borderId="0" xfId="0" applyNumberFormat="1"/>
    <xf numFmtId="0" fontId="2" fillId="0" borderId="0" xfId="0" applyFont="1" applyBorder="1"/>
    <xf numFmtId="164" fontId="2" fillId="0" borderId="0" xfId="0" applyNumberFormat="1" applyFont="1" applyFill="1" applyBorder="1"/>
    <xf numFmtId="4" fontId="3" fillId="0" borderId="0" xfId="0" applyNumberFormat="1" applyFont="1"/>
    <xf numFmtId="0" fontId="10" fillId="0" borderId="0" xfId="0" applyFont="1" applyFill="1" applyBorder="1" applyAlignment="1">
      <alignment horizontal="center" vertical="top"/>
    </xf>
    <xf numFmtId="0" fontId="18" fillId="0" borderId="0" xfId="0" applyFont="1" applyFill="1" applyBorder="1" applyAlignment="1">
      <alignment horizontal="left" wrapText="1"/>
    </xf>
    <xf numFmtId="0" fontId="22" fillId="0" borderId="1" xfId="0" applyFont="1" applyFill="1" applyBorder="1" applyAlignment="1">
      <alignment horizontal="right"/>
    </xf>
    <xf numFmtId="0" fontId="11" fillId="0" borderId="1" xfId="0" applyFont="1" applyFill="1" applyBorder="1"/>
    <xf numFmtId="0" fontId="18" fillId="0" borderId="1" xfId="0" applyFont="1" applyFill="1" applyBorder="1" applyAlignment="1">
      <alignment horizontal="left" wrapText="1"/>
    </xf>
    <xf numFmtId="4" fontId="11" fillId="0" borderId="1" xfId="0" applyNumberFormat="1" applyFont="1" applyFill="1" applyBorder="1"/>
    <xf numFmtId="4" fontId="3" fillId="0" borderId="1" xfId="0" applyNumberFormat="1" applyFont="1" applyFill="1" applyBorder="1" applyAlignment="1"/>
    <xf numFmtId="0" fontId="2" fillId="0" borderId="1" xfId="0" applyFont="1" applyFill="1" applyBorder="1" applyAlignment="1">
      <alignment horizontal="left" wrapText="1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4" fillId="0" borderId="0" xfId="0" applyFont="1" applyFill="1" applyBorder="1" applyAlignment="1">
      <alignment horizontal="right"/>
    </xf>
    <xf numFmtId="0" fontId="44" fillId="0" borderId="0" xfId="0" applyFont="1" applyFill="1" applyBorder="1"/>
    <xf numFmtId="0" fontId="44" fillId="0" borderId="0" xfId="0" applyFont="1" applyFill="1" applyBorder="1" applyAlignment="1"/>
    <xf numFmtId="0" fontId="45" fillId="0" borderId="0" xfId="0" applyFont="1" applyFill="1" applyBorder="1" applyAlignment="1">
      <alignment horizontal="right"/>
    </xf>
    <xf numFmtId="0" fontId="45" fillId="0" borderId="0" xfId="0" applyFont="1" applyFill="1" applyBorder="1"/>
    <xf numFmtId="0" fontId="45" fillId="0" borderId="3" xfId="0" applyFont="1" applyFill="1" applyBorder="1"/>
    <xf numFmtId="0" fontId="44" fillId="0" borderId="3" xfId="0" applyFont="1" applyFill="1" applyBorder="1" applyAlignment="1"/>
    <xf numFmtId="0" fontId="46" fillId="0" borderId="0" xfId="0" applyFont="1" applyFill="1" applyBorder="1"/>
    <xf numFmtId="0" fontId="45" fillId="0" borderId="0" xfId="0" applyFont="1" applyAlignment="1">
      <alignment horizontal="left"/>
    </xf>
    <xf numFmtId="0" fontId="45" fillId="0" borderId="0" xfId="0" applyFont="1"/>
    <xf numFmtId="0" fontId="45" fillId="2" borderId="0" xfId="0" applyFont="1" applyFill="1"/>
    <xf numFmtId="0" fontId="45" fillId="0" borderId="0" xfId="0" applyFont="1" applyBorder="1" applyAlignment="1">
      <alignment horizontal="right"/>
    </xf>
    <xf numFmtId="0" fontId="45" fillId="0" borderId="0" xfId="0" applyFont="1" applyFill="1" applyBorder="1" applyAlignment="1">
      <alignment horizontal="left"/>
    </xf>
    <xf numFmtId="0" fontId="43" fillId="0" borderId="0" xfId="0" applyFont="1" applyFill="1" applyBorder="1" applyAlignment="1">
      <alignment vertical="top"/>
    </xf>
    <xf numFmtId="164" fontId="43" fillId="0" borderId="0" xfId="1" applyFont="1" applyFill="1" applyBorder="1" applyAlignment="1">
      <alignment vertical="top"/>
    </xf>
    <xf numFmtId="0" fontId="48" fillId="0" borderId="0" xfId="0" applyFont="1" applyFill="1" applyBorder="1" applyAlignment="1">
      <alignment horizontal="right"/>
    </xf>
    <xf numFmtId="2" fontId="48" fillId="0" borderId="0" xfId="0" applyNumberFormat="1" applyFont="1" applyFill="1" applyBorder="1" applyAlignment="1">
      <alignment vertical="center" wrapText="1"/>
    </xf>
    <xf numFmtId="0" fontId="48" fillId="0" borderId="0" xfId="0" applyFont="1" applyFill="1" applyBorder="1" applyAlignment="1">
      <alignment wrapText="1"/>
    </xf>
    <xf numFmtId="0" fontId="43" fillId="0" borderId="0" xfId="0" applyFont="1" applyBorder="1"/>
    <xf numFmtId="0" fontId="43" fillId="0" borderId="0" xfId="0" applyFont="1" applyFill="1" applyBorder="1"/>
    <xf numFmtId="0" fontId="48" fillId="0" borderId="0" xfId="0" applyFont="1" applyFill="1" applyBorder="1" applyAlignment="1"/>
    <xf numFmtId="0" fontId="44" fillId="0" borderId="0" xfId="0" applyFont="1" applyFill="1" applyBorder="1" applyAlignment="1">
      <alignment wrapText="1"/>
    </xf>
    <xf numFmtId="0" fontId="43" fillId="0" borderId="0" xfId="0" applyFont="1" applyFill="1" applyBorder="1" applyAlignment="1">
      <alignment horizontal="center" vertical="top"/>
    </xf>
    <xf numFmtId="0" fontId="46" fillId="0" borderId="3" xfId="0" applyFont="1" applyFill="1" applyBorder="1"/>
    <xf numFmtId="0" fontId="0" fillId="0" borderId="0" xfId="0" applyFill="1" applyBorder="1" applyAlignment="1">
      <alignment horizontal="right"/>
    </xf>
    <xf numFmtId="164" fontId="42" fillId="0" borderId="0" xfId="1" applyFont="1" applyFill="1" applyBorder="1"/>
    <xf numFmtId="0" fontId="42" fillId="0" borderId="0" xfId="0" applyFont="1" applyFill="1" applyBorder="1"/>
    <xf numFmtId="164" fontId="42" fillId="0" borderId="3" xfId="1" applyFont="1" applyFill="1" applyBorder="1"/>
    <xf numFmtId="0" fontId="42" fillId="0" borderId="3" xfId="0" applyFont="1" applyFill="1" applyBorder="1"/>
    <xf numFmtId="0" fontId="48" fillId="0" borderId="3" xfId="0" applyFont="1" applyFill="1" applyBorder="1" applyAlignment="1"/>
    <xf numFmtId="0" fontId="44" fillId="0" borderId="0" xfId="0" applyFont="1" applyFill="1" applyBorder="1" applyAlignment="1">
      <alignment horizontal="right" vertical="top"/>
    </xf>
    <xf numFmtId="0" fontId="44" fillId="0" borderId="0" xfId="0" applyFont="1" applyFill="1" applyBorder="1" applyAlignment="1">
      <alignment horizontal="left" vertical="top"/>
    </xf>
    <xf numFmtId="0" fontId="48" fillId="0" borderId="0" xfId="0" applyFont="1" applyFill="1" applyBorder="1" applyAlignment="1">
      <alignment vertical="center"/>
    </xf>
    <xf numFmtId="0" fontId="45" fillId="0" borderId="0" xfId="0" applyFont="1" applyFill="1" applyBorder="1" applyAlignment="1">
      <alignment horizontal="right" vertical="center"/>
    </xf>
    <xf numFmtId="0" fontId="45" fillId="0" borderId="0" xfId="0" applyFont="1" applyFill="1" applyBorder="1" applyAlignment="1">
      <alignment horizontal="left" vertical="center" wrapText="1"/>
    </xf>
    <xf numFmtId="0" fontId="48" fillId="0" borderId="3" xfId="0" applyFont="1" applyFill="1" applyBorder="1" applyAlignment="1">
      <alignment vertical="center"/>
    </xf>
    <xf numFmtId="0" fontId="46" fillId="0" borderId="0" xfId="0" applyFont="1" applyFill="1" applyBorder="1" applyAlignment="1">
      <alignment horizontal="right"/>
    </xf>
    <xf numFmtId="164" fontId="3" fillId="0" borderId="8" xfId="1" applyFont="1" applyFill="1" applyBorder="1" applyAlignment="1">
      <alignment horizontal="center" vertical="center"/>
    </xf>
    <xf numFmtId="0" fontId="48" fillId="0" borderId="0" xfId="0" applyFont="1" applyFill="1" applyBorder="1" applyAlignment="1">
      <alignment horizontal="right" wrapText="1"/>
    </xf>
    <xf numFmtId="0" fontId="43" fillId="0" borderId="0" xfId="0" applyFont="1" applyFill="1" applyBorder="1" applyAlignment="1">
      <alignment wrapText="1"/>
    </xf>
    <xf numFmtId="0" fontId="44" fillId="0" borderId="3" xfId="0" applyFont="1" applyFill="1" applyBorder="1"/>
    <xf numFmtId="0" fontId="44" fillId="0" borderId="3" xfId="0" applyFont="1" applyBorder="1"/>
    <xf numFmtId="0" fontId="43" fillId="0" borderId="3" xfId="0" applyFont="1" applyFill="1" applyBorder="1"/>
    <xf numFmtId="164" fontId="3" fillId="0" borderId="1" xfId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right" wrapText="1"/>
    </xf>
    <xf numFmtId="0" fontId="13" fillId="0" borderId="0" xfId="0" applyFont="1" applyFill="1" applyBorder="1" applyAlignment="1">
      <alignment wrapText="1"/>
    </xf>
    <xf numFmtId="0" fontId="23" fillId="0" borderId="0" xfId="0" applyFont="1" applyFill="1" applyBorder="1" applyAlignment="1">
      <alignment horizontal="right" wrapText="1"/>
    </xf>
    <xf numFmtId="0" fontId="45" fillId="0" borderId="0" xfId="0" applyFont="1" applyBorder="1"/>
    <xf numFmtId="0" fontId="43" fillId="0" borderId="3" xfId="0" applyFont="1" applyBorder="1"/>
    <xf numFmtId="0" fontId="44" fillId="0" borderId="0" xfId="0" applyFont="1" applyFill="1" applyBorder="1" applyAlignment="1"/>
    <xf numFmtId="4" fontId="1" fillId="0" borderId="0" xfId="0" applyNumberFormat="1" applyFont="1" applyFill="1" applyAlignment="1">
      <alignment vertical="center"/>
    </xf>
    <xf numFmtId="0" fontId="3" fillId="0" borderId="1" xfId="0" applyFont="1" applyBorder="1" applyAlignment="1">
      <alignment horizontal="center"/>
    </xf>
    <xf numFmtId="0" fontId="45" fillId="0" borderId="1" xfId="0" applyFont="1" applyFill="1" applyBorder="1"/>
    <xf numFmtId="164" fontId="45" fillId="0" borderId="1" xfId="1" applyFont="1" applyFill="1" applyBorder="1"/>
    <xf numFmtId="0" fontId="44" fillId="0" borderId="1" xfId="0" applyFont="1" applyFill="1" applyBorder="1"/>
    <xf numFmtId="164" fontId="44" fillId="0" borderId="1" xfId="0" applyNumberFormat="1" applyFont="1" applyFill="1" applyBorder="1"/>
    <xf numFmtId="0" fontId="51" fillId="0" borderId="1" xfId="0" applyFont="1" applyFill="1" applyBorder="1" applyAlignment="1">
      <alignment horizontal="center"/>
    </xf>
    <xf numFmtId="43" fontId="44" fillId="0" borderId="1" xfId="1" applyNumberFormat="1" applyFont="1" applyFill="1" applyBorder="1"/>
    <xf numFmtId="0" fontId="2" fillId="0" borderId="0" xfId="0" applyFont="1" applyBorder="1" applyProtection="1">
      <protection locked="0"/>
    </xf>
    <xf numFmtId="0" fontId="48" fillId="0" borderId="13" xfId="0" applyFont="1" applyFill="1" applyBorder="1"/>
    <xf numFmtId="4" fontId="44" fillId="0" borderId="0" xfId="0" applyNumberFormat="1" applyFont="1" applyFill="1" applyBorder="1" applyAlignment="1" applyProtection="1">
      <protection locked="0"/>
    </xf>
    <xf numFmtId="0" fontId="50" fillId="0" borderId="20" xfId="0" applyFont="1" applyFill="1" applyBorder="1"/>
    <xf numFmtId="4" fontId="49" fillId="0" borderId="11" xfId="0" applyNumberFormat="1" applyFont="1" applyFill="1" applyBorder="1"/>
    <xf numFmtId="0" fontId="50" fillId="0" borderId="15" xfId="0" applyFont="1" applyFill="1" applyBorder="1"/>
    <xf numFmtId="4" fontId="49" fillId="0" borderId="1" xfId="0" applyNumberFormat="1" applyFont="1" applyFill="1" applyBorder="1"/>
    <xf numFmtId="0" fontId="50" fillId="0" borderId="14" xfId="0" applyFont="1" applyFill="1" applyBorder="1"/>
    <xf numFmtId="4" fontId="49" fillId="0" borderId="2" xfId="0" applyNumberFormat="1" applyFont="1" applyFill="1" applyBorder="1"/>
    <xf numFmtId="0" fontId="49" fillId="0" borderId="1" xfId="0" applyFont="1" applyFill="1" applyBorder="1"/>
    <xf numFmtId="0" fontId="50" fillId="0" borderId="1" xfId="0" applyFont="1" applyFill="1" applyBorder="1"/>
    <xf numFmtId="4" fontId="49" fillId="0" borderId="7" xfId="0" applyNumberFormat="1" applyFont="1" applyFill="1" applyBorder="1"/>
    <xf numFmtId="4" fontId="50" fillId="0" borderId="1" xfId="0" applyNumberFormat="1" applyFont="1" applyFill="1" applyBorder="1" applyAlignment="1" applyProtection="1">
      <alignment horizontal="center" vertical="center" wrapText="1"/>
      <protection locked="0"/>
    </xf>
    <xf numFmtId="4" fontId="49" fillId="0" borderId="4" xfId="0" applyNumberFormat="1" applyFont="1" applyFill="1" applyBorder="1"/>
    <xf numFmtId="4" fontId="50" fillId="0" borderId="4" xfId="0" applyNumberFormat="1" applyFont="1" applyFill="1" applyBorder="1"/>
    <xf numFmtId="10" fontId="49" fillId="0" borderId="1" xfId="0" applyNumberFormat="1" applyFont="1" applyFill="1" applyBorder="1"/>
    <xf numFmtId="4" fontId="50" fillId="0" borderId="7" xfId="0" applyNumberFormat="1" applyFont="1" applyFill="1" applyBorder="1"/>
    <xf numFmtId="4" fontId="49" fillId="0" borderId="5" xfId="0" applyNumberFormat="1" applyFont="1" applyFill="1" applyBorder="1"/>
    <xf numFmtId="4" fontId="50" fillId="0" borderId="19" xfId="0" applyNumberFormat="1" applyFont="1" applyFill="1" applyBorder="1"/>
    <xf numFmtId="10" fontId="50" fillId="0" borderId="1" xfId="0" applyNumberFormat="1" applyFont="1" applyFill="1" applyBorder="1"/>
    <xf numFmtId="0" fontId="50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>
      <alignment horizontal="left" vertical="center" wrapText="1"/>
    </xf>
    <xf numFmtId="4" fontId="52" fillId="0" borderId="0" xfId="0" applyNumberFormat="1" applyFont="1"/>
    <xf numFmtId="0" fontId="3" fillId="0" borderId="1" xfId="0" applyNumberFormat="1" applyFont="1" applyFill="1" applyBorder="1" applyAlignment="1">
      <alignment wrapText="1"/>
    </xf>
    <xf numFmtId="43" fontId="2" fillId="0" borderId="0" xfId="0" applyNumberFormat="1" applyFont="1" applyFill="1" applyBorder="1"/>
    <xf numFmtId="49" fontId="2" fillId="0" borderId="1" xfId="0" applyNumberFormat="1" applyFont="1" applyFill="1" applyBorder="1"/>
    <xf numFmtId="164" fontId="0" fillId="4" borderId="0" xfId="1" applyFont="1" applyFill="1" applyAlignment="1">
      <alignment horizontal="center"/>
    </xf>
    <xf numFmtId="164" fontId="0" fillId="4" borderId="0" xfId="1" applyFont="1" applyFill="1" applyAlignment="1">
      <alignment horizontal="center" vertical="center"/>
    </xf>
    <xf numFmtId="164" fontId="0" fillId="4" borderId="0" xfId="1" applyFont="1" applyFill="1" applyAlignment="1">
      <alignment horizontal="center" vertical="center" wrapText="1"/>
    </xf>
    <xf numFmtId="164" fontId="1" fillId="4" borderId="0" xfId="1" applyFont="1" applyFill="1" applyAlignment="1">
      <alignment horizontal="center"/>
    </xf>
    <xf numFmtId="164" fontId="0" fillId="4" borderId="0" xfId="1" applyFont="1" applyFill="1" applyBorder="1" applyAlignment="1">
      <alignment horizontal="center"/>
    </xf>
    <xf numFmtId="164" fontId="0" fillId="5" borderId="0" xfId="1" applyFont="1" applyFill="1" applyAlignment="1">
      <alignment horizontal="center"/>
    </xf>
    <xf numFmtId="164" fontId="0" fillId="5" borderId="0" xfId="1" applyFont="1" applyFill="1" applyAlignment="1">
      <alignment horizontal="center" vertical="center"/>
    </xf>
    <xf numFmtId="164" fontId="0" fillId="5" borderId="0" xfId="1" applyFont="1" applyFill="1" applyAlignment="1">
      <alignment horizontal="center" vertical="center" wrapText="1"/>
    </xf>
    <xf numFmtId="164" fontId="0" fillId="6" borderId="0" xfId="1" applyFont="1" applyFill="1" applyAlignment="1">
      <alignment horizontal="center"/>
    </xf>
    <xf numFmtId="164" fontId="0" fillId="6" borderId="0" xfId="1" applyFont="1" applyFill="1" applyAlignment="1">
      <alignment horizontal="center" vertical="center"/>
    </xf>
    <xf numFmtId="164" fontId="0" fillId="6" borderId="0" xfId="1" applyFont="1" applyFill="1" applyAlignment="1">
      <alignment horizontal="center" vertical="center" wrapText="1"/>
    </xf>
    <xf numFmtId="164" fontId="0" fillId="8" borderId="0" xfId="1" applyFont="1" applyFill="1" applyAlignment="1">
      <alignment horizontal="center" vertical="center"/>
    </xf>
    <xf numFmtId="164" fontId="0" fillId="8" borderId="0" xfId="1" applyFont="1" applyFill="1" applyAlignment="1">
      <alignment horizontal="center"/>
    </xf>
    <xf numFmtId="164" fontId="0" fillId="8" borderId="0" xfId="1" applyFont="1" applyFill="1" applyAlignment="1">
      <alignment horizontal="center" vertical="center" wrapText="1"/>
    </xf>
    <xf numFmtId="164" fontId="0" fillId="7" borderId="0" xfId="1" applyFont="1" applyFill="1" applyAlignment="1">
      <alignment horizontal="center"/>
    </xf>
    <xf numFmtId="164" fontId="0" fillId="7" borderId="0" xfId="1" applyFont="1" applyFill="1" applyAlignment="1">
      <alignment horizontal="center" vertical="center"/>
    </xf>
    <xf numFmtId="164" fontId="0" fillId="7" borderId="0" xfId="1" applyFont="1" applyFill="1" applyAlignment="1">
      <alignment horizontal="center" vertical="center" wrapText="1"/>
    </xf>
    <xf numFmtId="164" fontId="0" fillId="9" borderId="0" xfId="1" applyFont="1" applyFill="1" applyAlignment="1">
      <alignment horizontal="center" vertical="center"/>
    </xf>
    <xf numFmtId="164" fontId="0" fillId="9" borderId="0" xfId="1" applyFont="1" applyFill="1" applyAlignment="1">
      <alignment horizontal="center"/>
    </xf>
    <xf numFmtId="164" fontId="0" fillId="9" borderId="0" xfId="1" applyFont="1" applyFill="1" applyAlignment="1">
      <alignment horizontal="center" vertical="center" wrapText="1"/>
    </xf>
    <xf numFmtId="164" fontId="0" fillId="10" borderId="0" xfId="1" applyFont="1" applyFill="1" applyAlignment="1">
      <alignment horizontal="center"/>
    </xf>
    <xf numFmtId="164" fontId="0" fillId="10" borderId="0" xfId="1" applyFont="1" applyFill="1" applyAlignment="1">
      <alignment horizontal="center" vertical="center"/>
    </xf>
    <xf numFmtId="164" fontId="0" fillId="10" borderId="0" xfId="1" applyFont="1" applyFill="1" applyAlignment="1">
      <alignment horizontal="center" vertical="center" wrapText="1"/>
    </xf>
    <xf numFmtId="0" fontId="0" fillId="11" borderId="0" xfId="0" applyFill="1"/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vertical="center" wrapText="1"/>
    </xf>
    <xf numFmtId="164" fontId="2" fillId="4" borderId="0" xfId="1" applyFont="1" applyFill="1" applyAlignment="1">
      <alignment horizontal="center"/>
    </xf>
    <xf numFmtId="164" fontId="2" fillId="5" borderId="0" xfId="1" applyFont="1" applyFill="1" applyAlignment="1">
      <alignment horizontal="center"/>
    </xf>
    <xf numFmtId="164" fontId="2" fillId="6" borderId="0" xfId="1" applyFont="1" applyFill="1" applyAlignment="1">
      <alignment horizontal="center"/>
    </xf>
    <xf numFmtId="164" fontId="2" fillId="8" borderId="0" xfId="1" applyFont="1" applyFill="1" applyAlignment="1">
      <alignment horizontal="center"/>
    </xf>
    <xf numFmtId="164" fontId="2" fillId="7" borderId="0" xfId="1" applyFont="1" applyFill="1" applyAlignment="1">
      <alignment horizontal="center"/>
    </xf>
    <xf numFmtId="164" fontId="2" fillId="9" borderId="0" xfId="1" applyFont="1" applyFill="1" applyAlignment="1">
      <alignment horizontal="center"/>
    </xf>
    <xf numFmtId="164" fontId="2" fillId="10" borderId="0" xfId="1" applyFont="1" applyFill="1" applyAlignment="1">
      <alignment horizontal="center"/>
    </xf>
    <xf numFmtId="0" fontId="2" fillId="11" borderId="0" xfId="0" applyFont="1" applyFill="1"/>
    <xf numFmtId="0" fontId="3" fillId="0" borderId="5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164" fontId="2" fillId="4" borderId="1" xfId="1" applyFont="1" applyFill="1" applyBorder="1" applyAlignment="1">
      <alignment horizontal="center" wrapText="1"/>
    </xf>
    <xf numFmtId="164" fontId="2" fillId="5" borderId="1" xfId="1" applyFont="1" applyFill="1" applyBorder="1" applyAlignment="1">
      <alignment horizontal="center" wrapText="1"/>
    </xf>
    <xf numFmtId="164" fontId="2" fillId="6" borderId="1" xfId="1" applyFont="1" applyFill="1" applyBorder="1" applyAlignment="1">
      <alignment horizontal="center" wrapText="1"/>
    </xf>
    <xf numFmtId="164" fontId="2" fillId="8" borderId="1" xfId="1" applyFont="1" applyFill="1" applyBorder="1" applyAlignment="1">
      <alignment horizontal="center" wrapText="1"/>
    </xf>
    <xf numFmtId="164" fontId="2" fillId="7" borderId="1" xfId="1" applyFont="1" applyFill="1" applyBorder="1" applyAlignment="1">
      <alignment horizontal="center" wrapText="1"/>
    </xf>
    <xf numFmtId="164" fontId="2" fillId="9" borderId="1" xfId="1" applyFont="1" applyFill="1" applyBorder="1" applyAlignment="1">
      <alignment horizontal="center" wrapText="1"/>
    </xf>
    <xf numFmtId="164" fontId="2" fillId="10" borderId="1" xfId="1" applyFont="1" applyFill="1" applyBorder="1" applyAlignment="1">
      <alignment horizontal="center" wrapText="1"/>
    </xf>
    <xf numFmtId="0" fontId="2" fillId="11" borderId="1" xfId="0" applyFont="1" applyFill="1" applyBorder="1" applyAlignment="1">
      <alignment wrapText="1"/>
    </xf>
    <xf numFmtId="0" fontId="0" fillId="12" borderId="0" xfId="0" applyFill="1"/>
    <xf numFmtId="0" fontId="0" fillId="12" borderId="0" xfId="0" applyFill="1" applyAlignment="1">
      <alignment horizontal="center" vertical="center"/>
    </xf>
    <xf numFmtId="0" fontId="0" fillId="12" borderId="0" xfId="0" applyFill="1" applyAlignment="1">
      <alignment vertical="center" wrapText="1"/>
    </xf>
    <xf numFmtId="0" fontId="2" fillId="12" borderId="1" xfId="0" applyFont="1" applyFill="1" applyBorder="1" applyAlignment="1">
      <alignment wrapText="1"/>
    </xf>
    <xf numFmtId="0" fontId="2" fillId="12" borderId="0" xfId="0" applyFont="1" applyFill="1"/>
    <xf numFmtId="43" fontId="0" fillId="0" borderId="0" xfId="0" applyNumberFormat="1" applyFill="1"/>
    <xf numFmtId="43" fontId="0" fillId="0" borderId="0" xfId="0" applyNumberFormat="1" applyFill="1" applyAlignment="1">
      <alignment vertical="center"/>
    </xf>
    <xf numFmtId="164" fontId="0" fillId="3" borderId="0" xfId="1" applyFont="1" applyFill="1" applyAlignment="1">
      <alignment horizontal="center"/>
    </xf>
    <xf numFmtId="43" fontId="2" fillId="0" borderId="0" xfId="0" applyNumberFormat="1" applyFont="1" applyFill="1"/>
    <xf numFmtId="4" fontId="1" fillId="0" borderId="0" xfId="0" applyNumberFormat="1" applyFont="1" applyFill="1"/>
    <xf numFmtId="4" fontId="0" fillId="0" borderId="0" xfId="0" applyNumberFormat="1" applyFill="1" applyAlignment="1">
      <alignment horizontal="center" vertical="center"/>
    </xf>
    <xf numFmtId="164" fontId="0" fillId="0" borderId="0" xfId="0" applyNumberFormat="1" applyFill="1"/>
    <xf numFmtId="43" fontId="0" fillId="0" borderId="0" xfId="0" applyNumberFormat="1" applyFill="1" applyBorder="1"/>
    <xf numFmtId="43" fontId="0" fillId="0" borderId="0" xfId="0" applyNumberFormat="1" applyFill="1" applyAlignment="1">
      <alignment horizontal="center" vertical="center"/>
    </xf>
    <xf numFmtId="43" fontId="1" fillId="0" borderId="6" xfId="0" applyNumberFormat="1" applyFont="1" applyFill="1" applyBorder="1" applyAlignment="1">
      <alignment vertical="center"/>
    </xf>
    <xf numFmtId="0" fontId="30" fillId="0" borderId="0" xfId="0" applyFont="1" applyFill="1" applyBorder="1" applyAlignment="1">
      <alignment wrapText="1"/>
    </xf>
    <xf numFmtId="0" fontId="5" fillId="0" borderId="1" xfId="0" applyFont="1" applyFill="1" applyBorder="1"/>
    <xf numFmtId="164" fontId="2" fillId="0" borderId="1" xfId="0" applyNumberFormat="1" applyFont="1" applyFill="1" applyBorder="1"/>
    <xf numFmtId="164" fontId="3" fillId="0" borderId="1" xfId="0" applyNumberFormat="1" applyFont="1" applyFill="1" applyBorder="1"/>
    <xf numFmtId="0" fontId="44" fillId="0" borderId="0" xfId="0" applyFont="1" applyFill="1" applyBorder="1" applyAlignment="1">
      <alignment horizontal="left"/>
    </xf>
    <xf numFmtId="0" fontId="44" fillId="0" borderId="0" xfId="0" applyFont="1" applyFill="1" applyBorder="1" applyAlignment="1">
      <alignment horizontal="right" wrapText="1"/>
    </xf>
    <xf numFmtId="0" fontId="45" fillId="0" borderId="0" xfId="0" applyFont="1" applyFill="1" applyBorder="1" applyAlignment="1">
      <alignment horizontal="right" wrapText="1"/>
    </xf>
    <xf numFmtId="0" fontId="45" fillId="0" borderId="0" xfId="0" quotePrefix="1" applyFont="1" applyFill="1" applyBorder="1" applyAlignment="1">
      <alignment horizontal="right"/>
    </xf>
    <xf numFmtId="4" fontId="45" fillId="0" borderId="0" xfId="0" applyNumberFormat="1" applyFont="1" applyFill="1" applyBorder="1" applyAlignment="1">
      <alignment wrapText="1"/>
    </xf>
    <xf numFmtId="0" fontId="45" fillId="0" borderId="6" xfId="0" applyFont="1" applyFill="1" applyBorder="1" applyAlignment="1">
      <alignment horizontal="right"/>
    </xf>
    <xf numFmtId="0" fontId="45" fillId="0" borderId="0" xfId="0" applyFont="1" applyFill="1" applyBorder="1" applyAlignment="1">
      <alignment wrapText="1"/>
    </xf>
    <xf numFmtId="43" fontId="2" fillId="0" borderId="1" xfId="1" applyNumberFormat="1" applyFont="1" applyFill="1" applyBorder="1"/>
    <xf numFmtId="0" fontId="45" fillId="0" borderId="3" xfId="0" applyFont="1" applyFill="1" applyBorder="1" applyAlignment="1"/>
    <xf numFmtId="43" fontId="24" fillId="0" borderId="9" xfId="1" applyNumberFormat="1" applyFont="1" applyFill="1" applyBorder="1" applyAlignment="1">
      <alignment horizontal="right"/>
    </xf>
    <xf numFmtId="4" fontId="2" fillId="0" borderId="1" xfId="0" applyNumberFormat="1" applyFont="1" applyFill="1" applyBorder="1" applyAlignment="1">
      <alignment horizontal="right" vertical="center" wrapText="1"/>
    </xf>
    <xf numFmtId="0" fontId="45" fillId="0" borderId="3" xfId="0" applyFont="1" applyFill="1" applyBorder="1" applyAlignment="1">
      <alignment horizontal="left" vertical="center" wrapText="1"/>
    </xf>
    <xf numFmtId="0" fontId="46" fillId="0" borderId="0" xfId="0" applyFont="1" applyFill="1" applyBorder="1" applyAlignment="1">
      <alignment horizontal="right" wrapText="1"/>
    </xf>
    <xf numFmtId="0" fontId="46" fillId="0" borderId="0" xfId="0" applyFont="1" applyFill="1" applyBorder="1" applyAlignment="1">
      <alignment horizontal="left" wrapText="1"/>
    </xf>
    <xf numFmtId="0" fontId="45" fillId="0" borderId="0" xfId="0" applyFont="1" applyFill="1" applyBorder="1" applyAlignment="1">
      <alignment horizontal="left" wrapText="1"/>
    </xf>
    <xf numFmtId="0" fontId="45" fillId="0" borderId="0" xfId="0" applyFont="1" applyFill="1" applyBorder="1" applyAlignment="1"/>
    <xf numFmtId="0" fontId="45" fillId="0" borderId="0" xfId="0" applyFont="1" applyFill="1" applyBorder="1" applyAlignment="1">
      <alignment horizontal="right" vertical="center" wrapText="1"/>
    </xf>
    <xf numFmtId="4" fontId="24" fillId="0" borderId="1" xfId="0" applyNumberFormat="1" applyFont="1" applyFill="1" applyBorder="1" applyAlignment="1">
      <alignment vertical="center"/>
    </xf>
    <xf numFmtId="39" fontId="24" fillId="0" borderId="1" xfId="0" applyNumberFormat="1" applyFont="1" applyFill="1" applyBorder="1" applyAlignment="1">
      <alignment wrapText="1"/>
    </xf>
    <xf numFmtId="164" fontId="2" fillId="0" borderId="0" xfId="1" applyFont="1"/>
    <xf numFmtId="4" fontId="50" fillId="0" borderId="12" xfId="0" applyNumberFormat="1" applyFont="1" applyFill="1" applyBorder="1"/>
    <xf numFmtId="164" fontId="46" fillId="0" borderId="0" xfId="1" applyFont="1" applyFill="1"/>
    <xf numFmtId="164" fontId="1" fillId="0" borderId="0" xfId="1" applyFont="1" applyFill="1" applyAlignment="1">
      <alignment vertical="center"/>
    </xf>
    <xf numFmtId="164" fontId="0" fillId="0" borderId="0" xfId="0" applyNumberFormat="1" applyFill="1" applyAlignment="1">
      <alignment vertical="center"/>
    </xf>
    <xf numFmtId="166" fontId="5" fillId="0" borderId="0" xfId="0" applyNumberFormat="1" applyFont="1"/>
    <xf numFmtId="167" fontId="0" fillId="0" borderId="0" xfId="0" applyNumberFormat="1"/>
    <xf numFmtId="168" fontId="0" fillId="0" borderId="0" xfId="1" applyNumberFormat="1" applyFont="1"/>
    <xf numFmtId="164" fontId="45" fillId="0" borderId="1" xfId="5" applyFont="1" applyFill="1" applyBorder="1" applyAlignment="1">
      <alignment wrapText="1"/>
    </xf>
    <xf numFmtId="2" fontId="0" fillId="0" borderId="0" xfId="0" applyNumberFormat="1"/>
    <xf numFmtId="0" fontId="42" fillId="0" borderId="0" xfId="0" applyFont="1" applyFill="1" applyBorder="1" applyAlignment="1">
      <alignment horizontal="center" vertical="top"/>
    </xf>
    <xf numFmtId="0" fontId="43" fillId="0" borderId="0" xfId="0" applyFont="1" applyFill="1" applyBorder="1" applyAlignment="1">
      <alignment horizontal="center" vertical="top"/>
    </xf>
    <xf numFmtId="164" fontId="1" fillId="0" borderId="0" xfId="1" applyFont="1" applyFill="1"/>
    <xf numFmtId="164" fontId="45" fillId="0" borderId="0" xfId="1" applyFont="1" applyFill="1"/>
    <xf numFmtId="164" fontId="44" fillId="0" borderId="0" xfId="1" applyFont="1" applyFill="1"/>
    <xf numFmtId="164" fontId="3" fillId="0" borderId="1" xfId="1" applyFont="1" applyFill="1" applyBorder="1" applyAlignment="1">
      <alignment vertical="center"/>
    </xf>
    <xf numFmtId="0" fontId="45" fillId="0" borderId="0" xfId="0" applyFont="1" applyFill="1"/>
    <xf numFmtId="164" fontId="3" fillId="0" borderId="0" xfId="1" applyFont="1" applyFill="1" applyBorder="1" applyAlignment="1">
      <alignment vertical="center"/>
    </xf>
    <xf numFmtId="164" fontId="0" fillId="0" borderId="0" xfId="0" applyNumberFormat="1" applyBorder="1"/>
    <xf numFmtId="43" fontId="0" fillId="0" borderId="0" xfId="0" applyNumberFormat="1" applyBorder="1"/>
    <xf numFmtId="0" fontId="3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vertical="top"/>
    </xf>
    <xf numFmtId="164" fontId="3" fillId="0" borderId="0" xfId="0" applyNumberFormat="1" applyFont="1" applyFill="1" applyBorder="1" applyAlignment="1">
      <alignment vertical="top"/>
    </xf>
    <xf numFmtId="4" fontId="21" fillId="0" borderId="0" xfId="0" applyNumberFormat="1" applyFont="1" applyFill="1" applyBorder="1"/>
    <xf numFmtId="4" fontId="28" fillId="0" borderId="0" xfId="0" applyNumberFormat="1" applyFont="1" applyFill="1"/>
    <xf numFmtId="43" fontId="28" fillId="0" borderId="0" xfId="0" applyNumberFormat="1" applyFont="1" applyFill="1"/>
    <xf numFmtId="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9" fontId="2" fillId="0" borderId="0" xfId="0" applyNumberFormat="1" applyFont="1" applyFill="1" applyBorder="1" applyAlignment="1">
      <alignment vertical="center" wrapText="1"/>
    </xf>
    <xf numFmtId="9" fontId="3" fillId="0" borderId="0" xfId="0" applyNumberFormat="1" applyFont="1" applyFill="1" applyBorder="1" applyAlignment="1">
      <alignment vertical="center" wrapText="1"/>
    </xf>
    <xf numFmtId="0" fontId="0" fillId="0" borderId="0" xfId="0" applyFill="1" applyBorder="1" applyAlignment="1">
      <alignment horizontal="right" vertical="center"/>
    </xf>
    <xf numFmtId="4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4" fontId="5" fillId="0" borderId="0" xfId="0" applyNumberFormat="1" applyFont="1" applyFill="1" applyBorder="1" applyAlignment="1">
      <alignment vertical="center"/>
    </xf>
    <xf numFmtId="164" fontId="2" fillId="0" borderId="0" xfId="1" applyFont="1" applyFill="1" applyAlignment="1">
      <alignment horizontal="center"/>
    </xf>
    <xf numFmtId="164" fontId="0" fillId="0" borderId="0" xfId="1" applyFont="1" applyFill="1" applyAlignment="1">
      <alignment horizontal="center"/>
    </xf>
    <xf numFmtId="4" fontId="50" fillId="0" borderId="18" xfId="0" applyNumberFormat="1" applyFont="1" applyFill="1" applyBorder="1"/>
    <xf numFmtId="0" fontId="44" fillId="0" borderId="0" xfId="0" applyFont="1" applyAlignment="1">
      <alignment horizontal="center"/>
    </xf>
    <xf numFmtId="0" fontId="42" fillId="0" borderId="0" xfId="0" applyFont="1" applyFill="1" applyBorder="1" applyAlignment="1">
      <alignment horizontal="center" vertical="top"/>
    </xf>
    <xf numFmtId="0" fontId="43" fillId="0" borderId="0" xfId="0" applyFont="1" applyFill="1" applyBorder="1" applyAlignment="1">
      <alignment horizontal="center" vertical="top"/>
    </xf>
    <xf numFmtId="0" fontId="42" fillId="0" borderId="5" xfId="0" applyFont="1" applyFill="1" applyBorder="1" applyAlignment="1">
      <alignment horizontal="center" vertical="top"/>
    </xf>
    <xf numFmtId="0" fontId="42" fillId="0" borderId="10" xfId="0" applyFont="1" applyFill="1" applyBorder="1" applyAlignment="1">
      <alignment horizontal="center" vertical="top"/>
    </xf>
    <xf numFmtId="0" fontId="43" fillId="0" borderId="6" xfId="0" applyFont="1" applyFill="1" applyBorder="1" applyAlignment="1">
      <alignment horizontal="center" vertical="top"/>
    </xf>
    <xf numFmtId="0" fontId="31" fillId="0" borderId="0" xfId="0" applyFont="1" applyFill="1" applyBorder="1" applyAlignment="1">
      <alignment horizontal="center" vertical="top"/>
    </xf>
    <xf numFmtId="0" fontId="29" fillId="0" borderId="0" xfId="0" applyFont="1" applyFill="1" applyBorder="1" applyAlignment="1">
      <alignment horizontal="center" vertical="top"/>
    </xf>
    <xf numFmtId="0" fontId="43" fillId="0" borderId="0" xfId="0" applyFont="1" applyBorder="1" applyAlignment="1">
      <alignment horizontal="center"/>
    </xf>
    <xf numFmtId="0" fontId="45" fillId="0" borderId="0" xfId="0" applyFont="1" applyFill="1" applyBorder="1" applyAlignment="1">
      <alignment horizontal="left"/>
    </xf>
    <xf numFmtId="0" fontId="31" fillId="0" borderId="0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6" fillId="0" borderId="0" xfId="0" applyFont="1" applyBorder="1" applyAlignment="1">
      <alignment horizontal="left"/>
    </xf>
    <xf numFmtId="0" fontId="45" fillId="0" borderId="0" xfId="0" applyFont="1" applyFill="1" applyBorder="1" applyAlignment="1">
      <alignment horizontal="left" wrapText="1"/>
    </xf>
    <xf numFmtId="0" fontId="45" fillId="0" borderId="3" xfId="0" applyFont="1" applyFill="1" applyBorder="1" applyAlignment="1">
      <alignment horizontal="left" wrapText="1"/>
    </xf>
    <xf numFmtId="0" fontId="42" fillId="0" borderId="6" xfId="0" applyFont="1" applyFill="1" applyBorder="1" applyAlignment="1">
      <alignment horizontal="center" vertical="top"/>
    </xf>
    <xf numFmtId="0" fontId="37" fillId="0" borderId="0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43" fillId="0" borderId="6" xfId="0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45" fillId="0" borderId="3" xfId="0" applyFont="1" applyFill="1" applyBorder="1" applyAlignment="1">
      <alignment horizontal="left" vertical="top" wrapText="1"/>
    </xf>
    <xf numFmtId="0" fontId="44" fillId="0" borderId="0" xfId="0" applyFont="1" applyFill="1" applyBorder="1" applyAlignment="1"/>
    <xf numFmtId="0" fontId="45" fillId="0" borderId="0" xfId="0" applyFont="1" applyFill="1" applyBorder="1" applyAlignment="1"/>
    <xf numFmtId="0" fontId="12" fillId="0" borderId="5" xfId="0" applyFont="1" applyFill="1" applyBorder="1" applyAlignment="1">
      <alignment horizontal="center" vertical="top"/>
    </xf>
    <xf numFmtId="0" fontId="12" fillId="0" borderId="10" xfId="0" applyFont="1" applyFill="1" applyBorder="1" applyAlignment="1">
      <alignment horizontal="center" vertical="top"/>
    </xf>
    <xf numFmtId="0" fontId="47" fillId="0" borderId="6" xfId="0" applyFont="1" applyFill="1" applyBorder="1" applyAlignment="1">
      <alignment horizontal="center" vertical="top"/>
    </xf>
    <xf numFmtId="0" fontId="47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top"/>
    </xf>
    <xf numFmtId="0" fontId="43" fillId="0" borderId="0" xfId="0" applyFont="1" applyFill="1" applyBorder="1" applyAlignment="1">
      <alignment horizontal="center"/>
    </xf>
    <xf numFmtId="0" fontId="44" fillId="0" borderId="0" xfId="0" applyFont="1" applyFill="1" applyBorder="1" applyAlignment="1">
      <alignment horizontal="center"/>
    </xf>
    <xf numFmtId="4" fontId="44" fillId="0" borderId="0" xfId="0" applyNumberFormat="1" applyFont="1" applyFill="1" applyBorder="1" applyAlignment="1" applyProtection="1">
      <alignment horizontal="center"/>
      <protection locked="0"/>
    </xf>
    <xf numFmtId="0" fontId="18" fillId="0" borderId="0" xfId="0" applyFont="1" applyFill="1" applyBorder="1" applyAlignment="1">
      <alignment horizontal="left" wrapText="1"/>
    </xf>
    <xf numFmtId="0" fontId="18" fillId="0" borderId="1" xfId="0" applyFont="1" applyFill="1" applyBorder="1" applyAlignment="1">
      <alignment horizontal="left" wrapText="1"/>
    </xf>
  </cellXfs>
  <cellStyles count="6">
    <cellStyle name="Millares" xfId="1" builtinId="3"/>
    <cellStyle name="Millares 2" xfId="4"/>
    <cellStyle name="Millares 3" xfId="5"/>
    <cellStyle name="Normal" xfId="0" builtinId="0"/>
    <cellStyle name="Normal 2" xfId="2"/>
    <cellStyle name="Währung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title>
    <c:autoTitleDeleted val="0"/>
    <c:view3D>
      <c:rotX val="15"/>
      <c:rotY val="0"/>
      <c:rAngAx val="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6.9136920384951922E-2"/>
          <c:y val="0.34971784776902892"/>
          <c:w val="0.38860258092739103"/>
          <c:h val="0.64767096821230674"/>
        </c:manualLayout>
      </c:layout>
      <c:pie3DChart>
        <c:varyColors val="1"/>
        <c:ser>
          <c:idx val="5"/>
          <c:order val="0"/>
          <c:tx>
            <c:strRef>
              <c:f>EST.GASTO!$A$12</c:f>
              <c:strCache>
                <c:ptCount val="1"/>
                <c:pt idx="0">
                  <c:v>TOTAL DEL GASTO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EST.GASTO!$B$5:$R$5</c:f>
              <c:strCache>
                <c:ptCount val="17"/>
                <c:pt idx="0">
                  <c:v>GENERAL</c:v>
                </c:pt>
                <c:pt idx="1">
                  <c:v>FINANCIERA</c:v>
                </c:pt>
                <c:pt idx="2">
                  <c:v>JUSTICIA</c:v>
                </c:pt>
                <c:pt idx="3">
                  <c:v>EDUCACIÓN Y CULTURA</c:v>
                </c:pt>
                <c:pt idx="4">
                  <c:v>A. SOCIAL</c:v>
                </c:pt>
                <c:pt idx="5">
                  <c:v>DESARROLLO SOCIAL</c:v>
                </c:pt>
                <c:pt idx="6">
                  <c:v>PLANIFICACIÓN</c:v>
                </c:pt>
                <c:pt idx="7">
                  <c:v>00.PP.MM.</c:v>
                </c:pt>
                <c:pt idx="8">
                  <c:v>PARQUES Y JARD.</c:v>
                </c:pt>
                <c:pt idx="9">
                  <c:v>GASTOS COMUNES</c:v>
                </c:pt>
                <c:pt idx="10">
                  <c:v>CEMENTERIO</c:v>
                </c:pt>
                <c:pt idx="11">
                  <c:v>CAMAL</c:v>
                </c:pt>
                <c:pt idx="12">
                  <c:v>SEMERTAZ</c:v>
                </c:pt>
                <c:pt idx="13">
                  <c:v>CCBS</c:v>
                </c:pt>
                <c:pt idx="14">
                  <c:v>MERCADOS</c:v>
                </c:pt>
                <c:pt idx="15">
                  <c:v>GESTION AMBIENTAL</c:v>
                </c:pt>
                <c:pt idx="16">
                  <c:v>TERMINAL</c:v>
                </c:pt>
              </c:strCache>
            </c:strRef>
          </c:cat>
          <c:val>
            <c:numRef>
              <c:f>EST.GASTO!$B$12:$R$12</c:f>
              <c:numCache>
                <c:formatCode>#,##0.00</c:formatCode>
                <c:ptCount val="17"/>
                <c:pt idx="0">
                  <c:v>4026645.6449999996</c:v>
                </c:pt>
                <c:pt idx="1">
                  <c:v>649926.5</c:v>
                </c:pt>
                <c:pt idx="2">
                  <c:v>172582.35</c:v>
                </c:pt>
                <c:pt idx="3">
                  <c:v>559828.65</c:v>
                </c:pt>
                <c:pt idx="4">
                  <c:v>2150795.42</c:v>
                </c:pt>
                <c:pt idx="5">
                  <c:v>315559.51</c:v>
                </c:pt>
                <c:pt idx="6">
                  <c:v>1092921.835</c:v>
                </c:pt>
                <c:pt idx="7">
                  <c:v>9923581.0250000004</c:v>
                </c:pt>
                <c:pt idx="8">
                  <c:v>442499.11</c:v>
                </c:pt>
                <c:pt idx="9">
                  <c:v>2956218.8</c:v>
                </c:pt>
                <c:pt idx="10">
                  <c:v>144675.88</c:v>
                </c:pt>
                <c:pt idx="11">
                  <c:v>177322.94500000001</c:v>
                </c:pt>
                <c:pt idx="12">
                  <c:v>567673.86</c:v>
                </c:pt>
                <c:pt idx="13">
                  <c:v>195961.03999999998</c:v>
                </c:pt>
                <c:pt idx="14">
                  <c:v>267614.84000000003</c:v>
                </c:pt>
                <c:pt idx="15">
                  <c:v>2101865.21</c:v>
                </c:pt>
                <c:pt idx="16">
                  <c:v>150106.53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zero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75000000000000944" l="0.70000000000000062" r="0.70000000000000062" t="0.75000000000000944" header="0.30000000000000032" footer="0.30000000000000032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28</xdr:row>
      <xdr:rowOff>0</xdr:rowOff>
    </xdr:from>
    <xdr:to>
      <xdr:col>4</xdr:col>
      <xdr:colOff>257175</xdr:colOff>
      <xdr:row>32</xdr:row>
      <xdr:rowOff>28575</xdr:rowOff>
    </xdr:to>
    <xdr:sp macro="" textlink="">
      <xdr:nvSpPr>
        <xdr:cNvPr id="2" name="1 Cerrar llave"/>
        <xdr:cNvSpPr/>
      </xdr:nvSpPr>
      <xdr:spPr bwMode="auto">
        <a:xfrm>
          <a:off x="6267450" y="7534275"/>
          <a:ext cx="142875" cy="685800"/>
        </a:xfrm>
        <a:prstGeom prst="rightBrac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16</xdr:row>
      <xdr:rowOff>85725</xdr:rowOff>
    </xdr:from>
    <xdr:to>
      <xdr:col>12</xdr:col>
      <xdr:colOff>381000</xdr:colOff>
      <xdr:row>37</xdr:row>
      <xdr:rowOff>114300</xdr:rowOff>
    </xdr:to>
    <xdr:graphicFrame macro="">
      <xdr:nvGraphicFramePr>
        <xdr:cNvPr id="2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mpartida\PRESUPUESTO%202017%20(%20OCUBRE%2019%202016)\TABLA%20DE%20AMORTIZACION%20DE%20CREDIT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mpartida\PRESUPUESTO%202017%20(%20OCUBRE%2019%202016)\----INGRESOS%202017----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 de amortización"/>
    </sheetNames>
    <sheetDataSet>
      <sheetData sheetId="0">
        <row r="6">
          <cell r="D6">
            <v>969042.37</v>
          </cell>
        </row>
        <row r="7">
          <cell r="D7">
            <v>8.2500000000000004E-2</v>
          </cell>
        </row>
        <row r="8">
          <cell r="D8">
            <v>10</v>
          </cell>
        </row>
        <row r="10">
          <cell r="D10">
            <v>42338</v>
          </cell>
        </row>
        <row r="18">
          <cell r="I18">
            <v>963818.9772435053</v>
          </cell>
        </row>
        <row r="19">
          <cell r="I19">
            <v>958559.67366180976</v>
          </cell>
        </row>
        <row r="20">
          <cell r="I20">
            <v>953264.21236799005</v>
          </cell>
        </row>
        <row r="21">
          <cell r="I21">
            <v>947932.34477777535</v>
          </cell>
        </row>
        <row r="22">
          <cell r="I22">
            <v>942563.82059787784</v>
          </cell>
        </row>
        <row r="23">
          <cell r="I23">
            <v>937158.38781424356</v>
          </cell>
        </row>
        <row r="24">
          <cell r="I24">
            <v>931715.79268022184</v>
          </cell>
        </row>
        <row r="25">
          <cell r="I25">
            <v>926235.77970465366</v>
          </cell>
        </row>
        <row r="26">
          <cell r="I26">
            <v>920718.09163987846</v>
          </cell>
        </row>
        <row r="27">
          <cell r="I27">
            <v>915162.46946965798</v>
          </cell>
        </row>
        <row r="28">
          <cell r="I28">
            <v>909568.65239701723</v>
          </cell>
        </row>
        <row r="29">
          <cell r="I29">
            <v>903936.37783200201</v>
          </cell>
        </row>
        <row r="30">
          <cell r="I30">
            <v>898265.3813793523</v>
          </cell>
        </row>
        <row r="31">
          <cell r="I31">
            <v>892555.39682609064</v>
          </cell>
        </row>
        <row r="32">
          <cell r="I32">
            <v>886806.15612902539</v>
          </cell>
        </row>
        <row r="33">
          <cell r="I33">
            <v>881017.38940216776</v>
          </cell>
        </row>
        <row r="34">
          <cell r="I34">
            <v>875188.82490406302</v>
          </cell>
        </row>
        <row r="35">
          <cell r="I35">
            <v>869320.18902503373</v>
          </cell>
        </row>
        <row r="36">
          <cell r="I36">
            <v>863411.2062743362</v>
          </cell>
        </row>
        <row r="37">
          <cell r="I37">
            <v>857461.59926722758</v>
          </cell>
        </row>
        <row r="38">
          <cell r="I38">
            <v>851471.08871194511</v>
          </cell>
        </row>
        <row r="39">
          <cell r="I39">
            <v>845439.39339659503</v>
          </cell>
        </row>
        <row r="40">
          <cell r="I40">
            <v>839366.23017595196</v>
          </cell>
        </row>
        <row r="41">
          <cell r="I41">
            <v>833251.31395816698</v>
          </cell>
        </row>
        <row r="42">
          <cell r="I42">
            <v>827094.35769138474</v>
          </cell>
        </row>
        <row r="43">
          <cell r="I43">
            <v>820895.07235026837</v>
          </cell>
        </row>
        <row r="44">
          <cell r="I44">
            <v>814653.16692243179</v>
          </cell>
        </row>
        <row r="45">
          <cell r="I45">
            <v>808368.34839477879</v>
          </cell>
        </row>
        <row r="46">
          <cell r="I46">
            <v>802040.32173974824</v>
          </cell>
        </row>
        <row r="47">
          <cell r="I47">
            <v>795668.78990146436</v>
          </cell>
        </row>
        <row r="48">
          <cell r="I48">
            <v>789253.4537817922</v>
          </cell>
        </row>
        <row r="49">
          <cell r="I49">
            <v>782794.01222629729</v>
          </cell>
        </row>
        <row r="50">
          <cell r="I50">
            <v>776290.16201010835</v>
          </cell>
        </row>
        <row r="51">
          <cell r="I51">
            <v>769741.59782368317</v>
          </cell>
        </row>
        <row r="52">
          <cell r="I52">
            <v>763148.01225847634</v>
          </cell>
        </row>
        <row r="53">
          <cell r="I53">
            <v>756509.09579250868</v>
          </cell>
        </row>
        <row r="54">
          <cell r="I54">
            <v>749824.53677583754</v>
          </cell>
        </row>
        <row r="55">
          <cell r="I55">
            <v>743094.02141592675</v>
          </cell>
        </row>
        <row r="56">
          <cell r="I56">
            <v>736317.23376291653</v>
          </cell>
        </row>
        <row r="57">
          <cell r="I57">
            <v>729493.85569479188</v>
          </cell>
        </row>
        <row r="58">
          <cell r="I58">
            <v>722623.56690244889</v>
          </cell>
        </row>
        <row r="59">
          <cell r="I59">
            <v>715706.04487465858</v>
          </cell>
        </row>
        <row r="60">
          <cell r="I60">
            <v>708740.96488292713</v>
          </cell>
        </row>
        <row r="61">
          <cell r="I61">
            <v>701727.9999662526</v>
          </cell>
        </row>
        <row r="62">
          <cell r="I62">
            <v>694666.82091577596</v>
          </cell>
        </row>
        <row r="63">
          <cell r="I63">
            <v>687557.09625932726</v>
          </cell>
        </row>
        <row r="64">
          <cell r="I64">
            <v>680398.4922458654</v>
          </cell>
        </row>
        <row r="65">
          <cell r="I65">
            <v>673190.672829811</v>
          </cell>
        </row>
        <row r="66">
          <cell r="I66">
            <v>665933.29965527123</v>
          </cell>
        </row>
        <row r="67">
          <cell r="I67">
            <v>658626.03204015654</v>
          </cell>
        </row>
        <row r="68">
          <cell r="I68">
            <v>651268.52696018794</v>
          </cell>
        </row>
        <row r="69">
          <cell r="I69">
            <v>643860.43903279456</v>
          </cell>
        </row>
        <row r="70">
          <cell r="I70">
            <v>636401.42050090036</v>
          </cell>
        </row>
        <row r="71">
          <cell r="I71">
            <v>628891.12121659936</v>
          </cell>
        </row>
        <row r="72">
          <cell r="I72">
            <v>621329.18862471881</v>
          </cell>
        </row>
        <row r="73">
          <cell r="I73">
            <v>613715.26774626912</v>
          </cell>
        </row>
        <row r="74">
          <cell r="I74">
            <v>606049.00116178009</v>
          </cell>
        </row>
        <row r="75">
          <cell r="I75">
            <v>598330.02899452264</v>
          </cell>
        </row>
        <row r="76">
          <cell r="I76">
            <v>590557.98889361531</v>
          </cell>
        </row>
        <row r="77">
          <cell r="I77">
            <v>582732.51601701428</v>
          </cell>
        </row>
        <row r="78">
          <cell r="I78">
            <v>574853.24301438662</v>
          </cell>
        </row>
        <row r="79">
          <cell r="I79">
            <v>566919.8000098659</v>
          </cell>
        </row>
        <row r="80">
          <cell r="I80">
            <v>558931.8145846891</v>
          </cell>
        </row>
        <row r="81">
          <cell r="I81">
            <v>550888.91175971413</v>
          </cell>
        </row>
        <row r="82">
          <cell r="I82">
            <v>542790.71397781745</v>
          </cell>
        </row>
        <row r="83">
          <cell r="I83">
            <v>534636.84108617029</v>
          </cell>
        </row>
        <row r="84">
          <cell r="I84">
            <v>526426.91031839303</v>
          </cell>
        </row>
        <row r="85">
          <cell r="I85">
            <v>518160.53627658729</v>
          </cell>
        </row>
        <row r="86">
          <cell r="I86">
            <v>509837.33091324416</v>
          </cell>
        </row>
        <row r="87">
          <cell r="I87">
            <v>501456.90351302805</v>
          </cell>
        </row>
        <row r="88">
          <cell r="I88">
            <v>493018.86067443545</v>
          </cell>
        </row>
        <row r="89">
          <cell r="I89">
            <v>484522.80629132752</v>
          </cell>
        </row>
        <row r="90">
          <cell r="I90">
            <v>475968.34153433575</v>
          </cell>
        </row>
        <row r="91">
          <cell r="I91">
            <v>467355.06483213964</v>
          </cell>
        </row>
        <row r="92">
          <cell r="I92">
            <v>458682.57185261592</v>
          </cell>
        </row>
        <row r="93">
          <cell r="I93">
            <v>449950.45548385795</v>
          </cell>
        </row>
        <row r="94">
          <cell r="I94">
            <v>441158.30581506481</v>
          </cell>
        </row>
        <row r="95">
          <cell r="I95">
            <v>432305.7101172987</v>
          </cell>
        </row>
        <row r="96">
          <cell r="I96">
            <v>423392.25282411044</v>
          </cell>
        </row>
        <row r="97">
          <cell r="I97">
            <v>414417.5155120315</v>
          </cell>
        </row>
        <row r="98">
          <cell r="I98">
            <v>405381.07688093203</v>
          </cell>
        </row>
        <row r="99">
          <cell r="I99">
            <v>396282.51273424376</v>
          </cell>
        </row>
        <row r="100">
          <cell r="I100">
            <v>387121.39595904702</v>
          </cell>
        </row>
        <row r="101">
          <cell r="I101">
            <v>377897.29650602076</v>
          </cell>
        </row>
        <row r="102">
          <cell r="I102">
            <v>368609.78136925498</v>
          </cell>
        </row>
        <row r="103">
          <cell r="I103">
            <v>359258.41456592391</v>
          </cell>
        </row>
        <row r="104">
          <cell r="I104">
            <v>349842.75711581996</v>
          </cell>
        </row>
        <row r="105">
          <cell r="I105">
            <v>340362.36702074652</v>
          </cell>
        </row>
        <row r="106">
          <cell r="I106">
            <v>330816.79924376949</v>
          </cell>
        </row>
        <row r="107">
          <cell r="I107">
            <v>321205.60568832571</v>
          </cell>
        </row>
        <row r="108">
          <cell r="I108">
            <v>311528.33517718827</v>
          </cell>
        </row>
        <row r="109">
          <cell r="I109">
            <v>301784.53343128675</v>
          </cell>
        </row>
        <row r="110">
          <cell r="I110">
            <v>291973.74304838217</v>
          </cell>
        </row>
        <row r="111">
          <cell r="I111">
            <v>282095.50348159514</v>
          </cell>
        </row>
        <row r="112">
          <cell r="I112">
            <v>272149.35101778642</v>
          </cell>
        </row>
        <row r="113">
          <cell r="I113">
            <v>262134.81875578902</v>
          </cell>
        </row>
        <row r="114">
          <cell r="I114">
            <v>252051.43658449038</v>
          </cell>
        </row>
        <row r="115">
          <cell r="I115">
            <v>241898.73116076409</v>
          </cell>
        </row>
        <row r="116">
          <cell r="I116">
            <v>231676.22588724966</v>
          </cell>
        </row>
        <row r="117">
          <cell r="I117">
            <v>221383.44088997983</v>
          </cell>
        </row>
        <row r="118">
          <cell r="I118">
            <v>211019.89299585376</v>
          </cell>
        </row>
        <row r="119">
          <cell r="I119">
            <v>200585.09570995558</v>
          </cell>
        </row>
        <row r="120">
          <cell r="I120">
            <v>190078.55919271684</v>
          </cell>
        </row>
        <row r="121">
          <cell r="I121">
            <v>179499.7902369221</v>
          </cell>
        </row>
        <row r="122">
          <cell r="I122">
            <v>168848.29224455627</v>
          </cell>
        </row>
        <row r="123">
          <cell r="I123">
            <v>158123.56520349291</v>
          </cell>
        </row>
        <row r="124">
          <cell r="I124">
            <v>147325.10566402224</v>
          </cell>
        </row>
        <row r="125">
          <cell r="I125">
            <v>136452.40671521772</v>
          </cell>
        </row>
        <row r="126">
          <cell r="I126">
            <v>125504.95796114016</v>
          </cell>
        </row>
        <row r="127">
          <cell r="I127">
            <v>114482.24549687831</v>
          </cell>
        </row>
        <row r="128">
          <cell r="I128">
            <v>103383.75188442468</v>
          </cell>
        </row>
        <row r="129">
          <cell r="I129">
            <v>92208.956128385427</v>
          </cell>
        </row>
        <row r="130">
          <cell r="I130">
            <v>80957.333651523397</v>
          </cell>
        </row>
        <row r="131">
          <cell r="I131">
            <v>69628.356270132936</v>
          </cell>
        </row>
        <row r="132">
          <cell r="I132">
            <v>58221.492169245423</v>
          </cell>
        </row>
        <row r="133">
          <cell r="I133">
            <v>46736.20587766431</v>
          </cell>
        </row>
        <row r="134">
          <cell r="I134">
            <v>35171.958242828572</v>
          </cell>
        </row>
        <row r="135">
          <cell r="I135">
            <v>23528.206405503341</v>
          </cell>
        </row>
        <row r="136">
          <cell r="I136">
            <v>11804.403774296499</v>
          </cell>
        </row>
        <row r="137">
          <cell r="I137">
            <v>0</v>
          </cell>
        </row>
        <row r="138">
          <cell r="I138">
            <v>0</v>
          </cell>
        </row>
        <row r="139">
          <cell r="I139">
            <v>0</v>
          </cell>
        </row>
        <row r="140">
          <cell r="I140">
            <v>0</v>
          </cell>
        </row>
        <row r="141">
          <cell r="I141">
            <v>0</v>
          </cell>
        </row>
        <row r="142">
          <cell r="I142">
            <v>0</v>
          </cell>
        </row>
        <row r="143">
          <cell r="I143">
            <v>0</v>
          </cell>
        </row>
        <row r="144">
          <cell r="I144">
            <v>0</v>
          </cell>
        </row>
        <row r="145">
          <cell r="I145">
            <v>0</v>
          </cell>
        </row>
        <row r="146">
          <cell r="I146">
            <v>0</v>
          </cell>
        </row>
        <row r="147">
          <cell r="I147">
            <v>0</v>
          </cell>
        </row>
        <row r="148">
          <cell r="I148">
            <v>0</v>
          </cell>
        </row>
        <row r="149">
          <cell r="I149">
            <v>0</v>
          </cell>
        </row>
        <row r="150">
          <cell r="I150">
            <v>0</v>
          </cell>
        </row>
        <row r="151">
          <cell r="I151">
            <v>0</v>
          </cell>
        </row>
        <row r="152">
          <cell r="I152">
            <v>0</v>
          </cell>
        </row>
        <row r="153">
          <cell r="I153">
            <v>0</v>
          </cell>
        </row>
        <row r="154">
          <cell r="I154">
            <v>0</v>
          </cell>
        </row>
        <row r="155">
          <cell r="I155">
            <v>0</v>
          </cell>
        </row>
        <row r="156">
          <cell r="I156">
            <v>0</v>
          </cell>
        </row>
        <row r="157">
          <cell r="I157">
            <v>0</v>
          </cell>
        </row>
        <row r="158">
          <cell r="I158">
            <v>0</v>
          </cell>
        </row>
        <row r="159">
          <cell r="I159">
            <v>0</v>
          </cell>
        </row>
        <row r="160">
          <cell r="I160">
            <v>0</v>
          </cell>
        </row>
        <row r="161">
          <cell r="I161">
            <v>0</v>
          </cell>
        </row>
        <row r="162">
          <cell r="I162">
            <v>0</v>
          </cell>
        </row>
        <row r="163">
          <cell r="I163">
            <v>0</v>
          </cell>
        </row>
        <row r="164">
          <cell r="I164">
            <v>0</v>
          </cell>
        </row>
        <row r="165">
          <cell r="I165">
            <v>0</v>
          </cell>
        </row>
        <row r="166">
          <cell r="I166">
            <v>0</v>
          </cell>
        </row>
        <row r="167">
          <cell r="I167">
            <v>0</v>
          </cell>
        </row>
        <row r="168">
          <cell r="I168">
            <v>0</v>
          </cell>
        </row>
        <row r="169">
          <cell r="I169">
            <v>0</v>
          </cell>
        </row>
        <row r="170">
          <cell r="I170">
            <v>0</v>
          </cell>
        </row>
        <row r="171">
          <cell r="I171">
            <v>0</v>
          </cell>
        </row>
        <row r="172">
          <cell r="I172">
            <v>0</v>
          </cell>
        </row>
        <row r="173">
          <cell r="I173">
            <v>0</v>
          </cell>
        </row>
        <row r="174">
          <cell r="I174">
            <v>0</v>
          </cell>
        </row>
        <row r="175">
          <cell r="I175">
            <v>0</v>
          </cell>
        </row>
        <row r="176">
          <cell r="I176">
            <v>0</v>
          </cell>
        </row>
        <row r="177">
          <cell r="I177">
            <v>0</v>
          </cell>
        </row>
        <row r="178">
          <cell r="I178">
            <v>0</v>
          </cell>
        </row>
        <row r="179">
          <cell r="I179">
            <v>0</v>
          </cell>
        </row>
        <row r="180">
          <cell r="I180">
            <v>0</v>
          </cell>
        </row>
        <row r="181">
          <cell r="I181">
            <v>0</v>
          </cell>
        </row>
        <row r="182">
          <cell r="I182">
            <v>0</v>
          </cell>
        </row>
        <row r="183">
          <cell r="I183">
            <v>0</v>
          </cell>
        </row>
        <row r="184">
          <cell r="I184">
            <v>0</v>
          </cell>
        </row>
        <row r="185">
          <cell r="I185">
            <v>0</v>
          </cell>
        </row>
        <row r="186">
          <cell r="I186">
            <v>0</v>
          </cell>
        </row>
        <row r="187">
          <cell r="I187">
            <v>0</v>
          </cell>
        </row>
        <row r="188">
          <cell r="I188">
            <v>0</v>
          </cell>
        </row>
        <row r="189">
          <cell r="I189">
            <v>0</v>
          </cell>
        </row>
        <row r="190">
          <cell r="I190">
            <v>0</v>
          </cell>
        </row>
        <row r="191">
          <cell r="I191">
            <v>0</v>
          </cell>
        </row>
        <row r="192">
          <cell r="I192">
            <v>0</v>
          </cell>
        </row>
        <row r="193">
          <cell r="I193">
            <v>0</v>
          </cell>
        </row>
        <row r="194">
          <cell r="I194">
            <v>0</v>
          </cell>
        </row>
        <row r="195">
          <cell r="I195">
            <v>0</v>
          </cell>
        </row>
        <row r="196">
          <cell r="I196">
            <v>0</v>
          </cell>
        </row>
        <row r="197">
          <cell r="I197">
            <v>0</v>
          </cell>
        </row>
        <row r="198">
          <cell r="I198">
            <v>0</v>
          </cell>
        </row>
        <row r="199">
          <cell r="I199">
            <v>0</v>
          </cell>
        </row>
        <row r="200">
          <cell r="I200">
            <v>0</v>
          </cell>
        </row>
        <row r="201">
          <cell r="I201">
            <v>0</v>
          </cell>
        </row>
        <row r="202">
          <cell r="I202">
            <v>0</v>
          </cell>
        </row>
        <row r="203">
          <cell r="I203">
            <v>0</v>
          </cell>
        </row>
        <row r="204">
          <cell r="I204">
            <v>0</v>
          </cell>
        </row>
        <row r="205">
          <cell r="I205">
            <v>0</v>
          </cell>
        </row>
        <row r="206">
          <cell r="I206">
            <v>0</v>
          </cell>
        </row>
        <row r="207">
          <cell r="I207">
            <v>0</v>
          </cell>
        </row>
        <row r="208">
          <cell r="I208">
            <v>0</v>
          </cell>
        </row>
        <row r="209">
          <cell r="I209">
            <v>0</v>
          </cell>
        </row>
        <row r="210">
          <cell r="I210">
            <v>0</v>
          </cell>
        </row>
        <row r="211">
          <cell r="I211">
            <v>0</v>
          </cell>
        </row>
        <row r="212">
          <cell r="I212">
            <v>0</v>
          </cell>
        </row>
        <row r="213">
          <cell r="I213">
            <v>0</v>
          </cell>
        </row>
        <row r="214">
          <cell r="I214">
            <v>0</v>
          </cell>
        </row>
        <row r="215">
          <cell r="I215">
            <v>0</v>
          </cell>
        </row>
        <row r="216">
          <cell r="I216">
            <v>0</v>
          </cell>
        </row>
        <row r="217">
          <cell r="I217">
            <v>0</v>
          </cell>
        </row>
        <row r="218">
          <cell r="I218">
            <v>0</v>
          </cell>
        </row>
        <row r="219">
          <cell r="I219">
            <v>0</v>
          </cell>
        </row>
        <row r="220">
          <cell r="I220">
            <v>0</v>
          </cell>
        </row>
        <row r="221">
          <cell r="I221">
            <v>0</v>
          </cell>
        </row>
        <row r="222">
          <cell r="I222">
            <v>0</v>
          </cell>
        </row>
        <row r="223">
          <cell r="I223">
            <v>0</v>
          </cell>
        </row>
        <row r="224">
          <cell r="I224">
            <v>0</v>
          </cell>
        </row>
        <row r="225">
          <cell r="I225">
            <v>0</v>
          </cell>
        </row>
        <row r="226">
          <cell r="I226">
            <v>0</v>
          </cell>
        </row>
        <row r="227">
          <cell r="I227">
            <v>0</v>
          </cell>
        </row>
        <row r="228">
          <cell r="I228">
            <v>0</v>
          </cell>
        </row>
        <row r="229">
          <cell r="I229">
            <v>0</v>
          </cell>
        </row>
        <row r="230">
          <cell r="I230">
            <v>0</v>
          </cell>
        </row>
        <row r="231">
          <cell r="I231">
            <v>0</v>
          </cell>
        </row>
        <row r="232">
          <cell r="I232">
            <v>0</v>
          </cell>
        </row>
        <row r="233">
          <cell r="I233">
            <v>0</v>
          </cell>
        </row>
        <row r="234">
          <cell r="I234">
            <v>0</v>
          </cell>
        </row>
        <row r="235">
          <cell r="I235">
            <v>0</v>
          </cell>
        </row>
        <row r="236">
          <cell r="I236">
            <v>0</v>
          </cell>
        </row>
        <row r="237">
          <cell r="I237">
            <v>0</v>
          </cell>
        </row>
        <row r="238">
          <cell r="I238">
            <v>0</v>
          </cell>
        </row>
        <row r="239">
          <cell r="I239">
            <v>0</v>
          </cell>
        </row>
        <row r="240">
          <cell r="I240">
            <v>0</v>
          </cell>
        </row>
        <row r="241">
          <cell r="I241">
            <v>0</v>
          </cell>
        </row>
        <row r="242">
          <cell r="I242">
            <v>0</v>
          </cell>
        </row>
        <row r="243">
          <cell r="I243">
            <v>0</v>
          </cell>
        </row>
        <row r="244">
          <cell r="I244">
            <v>0</v>
          </cell>
        </row>
        <row r="245">
          <cell r="I245">
            <v>0</v>
          </cell>
        </row>
        <row r="246">
          <cell r="I246">
            <v>0</v>
          </cell>
        </row>
        <row r="247">
          <cell r="I247">
            <v>0</v>
          </cell>
        </row>
        <row r="248">
          <cell r="I248">
            <v>0</v>
          </cell>
        </row>
        <row r="249">
          <cell r="I249">
            <v>0</v>
          </cell>
        </row>
        <row r="250">
          <cell r="I250">
            <v>0</v>
          </cell>
        </row>
        <row r="251">
          <cell r="I251">
            <v>0</v>
          </cell>
        </row>
        <row r="252">
          <cell r="I252">
            <v>0</v>
          </cell>
        </row>
        <row r="253">
          <cell r="I253">
            <v>0</v>
          </cell>
        </row>
        <row r="254">
          <cell r="I254">
            <v>0</v>
          </cell>
        </row>
        <row r="255">
          <cell r="I255">
            <v>0</v>
          </cell>
        </row>
        <row r="256">
          <cell r="I256">
            <v>0</v>
          </cell>
        </row>
        <row r="257">
          <cell r="I257">
            <v>0</v>
          </cell>
        </row>
        <row r="258">
          <cell r="I258">
            <v>0</v>
          </cell>
        </row>
        <row r="259">
          <cell r="I259">
            <v>0</v>
          </cell>
        </row>
        <row r="260">
          <cell r="I260">
            <v>0</v>
          </cell>
        </row>
        <row r="261">
          <cell r="I261">
            <v>0</v>
          </cell>
        </row>
        <row r="262">
          <cell r="I262">
            <v>0</v>
          </cell>
        </row>
        <row r="263">
          <cell r="I263">
            <v>0</v>
          </cell>
        </row>
        <row r="264">
          <cell r="I264">
            <v>0</v>
          </cell>
        </row>
        <row r="265">
          <cell r="I265">
            <v>0</v>
          </cell>
        </row>
        <row r="266">
          <cell r="I266">
            <v>0</v>
          </cell>
        </row>
        <row r="267">
          <cell r="I267">
            <v>0</v>
          </cell>
        </row>
        <row r="268">
          <cell r="I268">
            <v>0</v>
          </cell>
        </row>
        <row r="269">
          <cell r="I269">
            <v>0</v>
          </cell>
        </row>
        <row r="270">
          <cell r="I270">
            <v>0</v>
          </cell>
        </row>
        <row r="271">
          <cell r="I271">
            <v>0</v>
          </cell>
        </row>
        <row r="272">
          <cell r="I272">
            <v>0</v>
          </cell>
        </row>
        <row r="273">
          <cell r="I273">
            <v>0</v>
          </cell>
        </row>
        <row r="274">
          <cell r="I274">
            <v>0</v>
          </cell>
        </row>
        <row r="275">
          <cell r="I275">
            <v>0</v>
          </cell>
        </row>
        <row r="276">
          <cell r="I276">
            <v>0</v>
          </cell>
        </row>
        <row r="277">
          <cell r="I277">
            <v>0</v>
          </cell>
        </row>
        <row r="278">
          <cell r="I278">
            <v>0</v>
          </cell>
        </row>
        <row r="279">
          <cell r="I279">
            <v>0</v>
          </cell>
        </row>
        <row r="280">
          <cell r="I280">
            <v>0</v>
          </cell>
        </row>
        <row r="281">
          <cell r="I281">
            <v>0</v>
          </cell>
        </row>
        <row r="282">
          <cell r="I282">
            <v>0</v>
          </cell>
        </row>
        <row r="283">
          <cell r="I283">
            <v>0</v>
          </cell>
        </row>
        <row r="284">
          <cell r="I284">
            <v>0</v>
          </cell>
        </row>
        <row r="285">
          <cell r="I285">
            <v>0</v>
          </cell>
        </row>
        <row r="286">
          <cell r="I286">
            <v>0</v>
          </cell>
        </row>
        <row r="287">
          <cell r="I287">
            <v>0</v>
          </cell>
        </row>
        <row r="288">
          <cell r="I288">
            <v>0</v>
          </cell>
        </row>
        <row r="289">
          <cell r="I289">
            <v>0</v>
          </cell>
        </row>
        <row r="290">
          <cell r="I290">
            <v>0</v>
          </cell>
        </row>
        <row r="291">
          <cell r="I291">
            <v>0</v>
          </cell>
        </row>
        <row r="292">
          <cell r="I292">
            <v>0</v>
          </cell>
        </row>
        <row r="293">
          <cell r="I293">
            <v>0</v>
          </cell>
        </row>
        <row r="294">
          <cell r="I294">
            <v>0</v>
          </cell>
        </row>
        <row r="295">
          <cell r="I295">
            <v>0</v>
          </cell>
        </row>
        <row r="296">
          <cell r="I296">
            <v>0</v>
          </cell>
        </row>
        <row r="297">
          <cell r="I297">
            <v>0</v>
          </cell>
        </row>
        <row r="298">
          <cell r="I298">
            <v>0</v>
          </cell>
        </row>
        <row r="299">
          <cell r="I299">
            <v>0</v>
          </cell>
        </row>
        <row r="300">
          <cell r="I300">
            <v>0</v>
          </cell>
        </row>
        <row r="301">
          <cell r="I301">
            <v>0</v>
          </cell>
        </row>
        <row r="302">
          <cell r="I302">
            <v>0</v>
          </cell>
        </row>
        <row r="303">
          <cell r="I303">
            <v>0</v>
          </cell>
        </row>
        <row r="304">
          <cell r="I304">
            <v>0</v>
          </cell>
        </row>
        <row r="305">
          <cell r="I305">
            <v>0</v>
          </cell>
        </row>
        <row r="306">
          <cell r="I306">
            <v>0</v>
          </cell>
        </row>
        <row r="307">
          <cell r="I307">
            <v>0</v>
          </cell>
        </row>
        <row r="308">
          <cell r="I308">
            <v>0</v>
          </cell>
        </row>
        <row r="309">
          <cell r="I309">
            <v>0</v>
          </cell>
        </row>
        <row r="310">
          <cell r="I310">
            <v>0</v>
          </cell>
        </row>
        <row r="311">
          <cell r="I311">
            <v>0</v>
          </cell>
        </row>
        <row r="312">
          <cell r="I312">
            <v>0</v>
          </cell>
        </row>
        <row r="313">
          <cell r="I313">
            <v>0</v>
          </cell>
        </row>
        <row r="314">
          <cell r="I314">
            <v>0</v>
          </cell>
        </row>
        <row r="315">
          <cell r="I315">
            <v>0</v>
          </cell>
        </row>
        <row r="316">
          <cell r="I316">
            <v>0</v>
          </cell>
        </row>
        <row r="317">
          <cell r="I317">
            <v>0</v>
          </cell>
        </row>
        <row r="318">
          <cell r="I318">
            <v>0</v>
          </cell>
        </row>
        <row r="319">
          <cell r="I319">
            <v>0</v>
          </cell>
        </row>
        <row r="320">
          <cell r="I320">
            <v>0</v>
          </cell>
        </row>
        <row r="321">
          <cell r="I321">
            <v>0</v>
          </cell>
        </row>
        <row r="322">
          <cell r="I322">
            <v>0</v>
          </cell>
        </row>
        <row r="323">
          <cell r="I323">
            <v>0</v>
          </cell>
        </row>
        <row r="324">
          <cell r="I324">
            <v>0</v>
          </cell>
        </row>
        <row r="325">
          <cell r="I325">
            <v>0</v>
          </cell>
        </row>
        <row r="326">
          <cell r="I326">
            <v>0</v>
          </cell>
        </row>
        <row r="327">
          <cell r="I327">
            <v>0</v>
          </cell>
        </row>
        <row r="328">
          <cell r="I328">
            <v>0</v>
          </cell>
        </row>
        <row r="329">
          <cell r="I329">
            <v>0</v>
          </cell>
        </row>
        <row r="330">
          <cell r="I330">
            <v>0</v>
          </cell>
        </row>
        <row r="331">
          <cell r="I331">
            <v>0</v>
          </cell>
        </row>
        <row r="332">
          <cell r="I332">
            <v>0</v>
          </cell>
        </row>
        <row r="333">
          <cell r="I333">
            <v>0</v>
          </cell>
        </row>
        <row r="334">
          <cell r="I334">
            <v>0</v>
          </cell>
        </row>
        <row r="335">
          <cell r="I335">
            <v>0</v>
          </cell>
        </row>
        <row r="336">
          <cell r="I336">
            <v>0</v>
          </cell>
        </row>
        <row r="337">
          <cell r="I337">
            <v>0</v>
          </cell>
        </row>
        <row r="338">
          <cell r="I338">
            <v>0</v>
          </cell>
        </row>
        <row r="339">
          <cell r="I339">
            <v>0</v>
          </cell>
        </row>
        <row r="340">
          <cell r="I340">
            <v>0</v>
          </cell>
        </row>
        <row r="341">
          <cell r="I341">
            <v>0</v>
          </cell>
        </row>
        <row r="342">
          <cell r="I342">
            <v>0</v>
          </cell>
        </row>
        <row r="343">
          <cell r="I343">
            <v>0</v>
          </cell>
        </row>
        <row r="344">
          <cell r="I344">
            <v>0</v>
          </cell>
        </row>
        <row r="345">
          <cell r="I345">
            <v>0</v>
          </cell>
        </row>
        <row r="346">
          <cell r="I346">
            <v>0</v>
          </cell>
        </row>
        <row r="347">
          <cell r="I347">
            <v>0</v>
          </cell>
        </row>
        <row r="348">
          <cell r="I348">
            <v>0</v>
          </cell>
        </row>
        <row r="349">
          <cell r="I349">
            <v>0</v>
          </cell>
        </row>
        <row r="350">
          <cell r="I350">
            <v>0</v>
          </cell>
        </row>
        <row r="351">
          <cell r="I351">
            <v>0</v>
          </cell>
        </row>
        <row r="352">
          <cell r="I352">
            <v>0</v>
          </cell>
        </row>
        <row r="353">
          <cell r="I353">
            <v>0</v>
          </cell>
        </row>
        <row r="354">
          <cell r="I354">
            <v>0</v>
          </cell>
        </row>
        <row r="355">
          <cell r="I355">
            <v>0</v>
          </cell>
        </row>
        <row r="356">
          <cell r="I356">
            <v>0</v>
          </cell>
        </row>
        <row r="357">
          <cell r="I357">
            <v>0</v>
          </cell>
        </row>
        <row r="358">
          <cell r="I358">
            <v>0</v>
          </cell>
        </row>
        <row r="359">
          <cell r="I359">
            <v>0</v>
          </cell>
        </row>
        <row r="360">
          <cell r="I360">
            <v>0</v>
          </cell>
        </row>
        <row r="361">
          <cell r="I361">
            <v>0</v>
          </cell>
        </row>
        <row r="362">
          <cell r="I362">
            <v>0</v>
          </cell>
        </row>
        <row r="363">
          <cell r="I363">
            <v>0</v>
          </cell>
        </row>
        <row r="364">
          <cell r="I364">
            <v>0</v>
          </cell>
        </row>
        <row r="365">
          <cell r="I365">
            <v>0</v>
          </cell>
        </row>
        <row r="366">
          <cell r="I366">
            <v>0</v>
          </cell>
        </row>
        <row r="367">
          <cell r="I367">
            <v>0</v>
          </cell>
        </row>
        <row r="368">
          <cell r="I368">
            <v>0</v>
          </cell>
        </row>
        <row r="369">
          <cell r="I369">
            <v>0</v>
          </cell>
        </row>
        <row r="370">
          <cell r="I370">
            <v>0</v>
          </cell>
        </row>
        <row r="371">
          <cell r="I371">
            <v>0</v>
          </cell>
        </row>
        <row r="372">
          <cell r="I372">
            <v>0</v>
          </cell>
        </row>
        <row r="373">
          <cell r="I373">
            <v>0</v>
          </cell>
        </row>
        <row r="374">
          <cell r="I374">
            <v>0</v>
          </cell>
        </row>
        <row r="375">
          <cell r="I375">
            <v>0</v>
          </cell>
        </row>
        <row r="376">
          <cell r="I376">
            <v>0</v>
          </cell>
        </row>
        <row r="377">
          <cell r="I37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.Central"/>
      <sheetName val="Aseo"/>
      <sheetName val="Camal"/>
      <sheetName val="Terminal"/>
      <sheetName val="Cementerio"/>
      <sheetName val="Mercados"/>
      <sheetName val="SEMERTAZ"/>
      <sheetName val="CCBS"/>
      <sheetName val="Registro Propiedad"/>
      <sheetName val="Accion Social"/>
      <sheetName val="Movilidad"/>
      <sheetName val="EST.ING."/>
    </sheetNames>
    <sheetDataSet>
      <sheetData sheetId="0">
        <row r="5">
          <cell r="D5">
            <v>22739347.623000018</v>
          </cell>
        </row>
      </sheetData>
      <sheetData sheetId="1">
        <row r="6">
          <cell r="D6">
            <v>1639327.252000089</v>
          </cell>
        </row>
      </sheetData>
      <sheetData sheetId="2">
        <row r="5">
          <cell r="D5">
            <v>100874.31599999999</v>
          </cell>
        </row>
      </sheetData>
      <sheetData sheetId="3">
        <row r="6">
          <cell r="D6">
            <v>171789.79399999999</v>
          </cell>
        </row>
      </sheetData>
      <sheetData sheetId="4">
        <row r="5">
          <cell r="D5">
            <v>190443.62</v>
          </cell>
        </row>
      </sheetData>
      <sheetData sheetId="5">
        <row r="5">
          <cell r="D5">
            <v>221014.63499999998</v>
          </cell>
        </row>
      </sheetData>
      <sheetData sheetId="6">
        <row r="5">
          <cell r="D5">
            <v>422900.59</v>
          </cell>
        </row>
      </sheetData>
      <sheetData sheetId="7">
        <row r="5">
          <cell r="D5">
            <v>204764.09</v>
          </cell>
        </row>
      </sheetData>
      <sheetData sheetId="8">
        <row r="7">
          <cell r="D7">
            <v>600000</v>
          </cell>
        </row>
      </sheetData>
      <sheetData sheetId="9">
        <row r="9">
          <cell r="E9">
            <v>300340.92</v>
          </cell>
        </row>
      </sheetData>
      <sheetData sheetId="10">
        <row r="7">
          <cell r="D7">
            <v>625677.72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1"/>
  <sheetViews>
    <sheetView topLeftCell="A60" workbookViewId="0">
      <selection activeCell="B81" sqref="B81"/>
    </sheetView>
  </sheetViews>
  <sheetFormatPr baseColWidth="10" defaultRowHeight="12.75" x14ac:dyDescent="0.2"/>
  <cols>
    <col min="1" max="1" width="12.140625" customWidth="1"/>
    <col min="2" max="2" width="15.5703125" customWidth="1"/>
    <col min="3" max="3" width="59.28515625" bestFit="1" customWidth="1"/>
  </cols>
  <sheetData>
    <row r="2" spans="1:3" x14ac:dyDescent="0.2">
      <c r="A2" s="537" t="s">
        <v>406</v>
      </c>
      <c r="B2" s="537"/>
      <c r="C2" s="537"/>
    </row>
    <row r="3" spans="1:3" x14ac:dyDescent="0.2">
      <c r="A3" s="537" t="s">
        <v>457</v>
      </c>
      <c r="B3" s="537"/>
      <c r="C3" s="537"/>
    </row>
    <row r="4" spans="1:3" x14ac:dyDescent="0.2">
      <c r="A4" s="537" t="s">
        <v>535</v>
      </c>
      <c r="B4" s="537"/>
      <c r="C4" s="537"/>
    </row>
    <row r="5" spans="1:3" x14ac:dyDescent="0.2">
      <c r="A5" s="341"/>
      <c r="B5" s="342"/>
      <c r="C5" s="343"/>
    </row>
    <row r="6" spans="1:3" x14ac:dyDescent="0.2">
      <c r="A6" s="331" t="s">
        <v>443</v>
      </c>
      <c r="B6" s="331" t="s">
        <v>444</v>
      </c>
      <c r="C6" s="332" t="s">
        <v>445</v>
      </c>
    </row>
    <row r="7" spans="1:3" x14ac:dyDescent="0.2">
      <c r="A7" s="143">
        <v>1</v>
      </c>
      <c r="B7" s="140" t="s">
        <v>413</v>
      </c>
      <c r="C7" s="141" t="s">
        <v>4</v>
      </c>
    </row>
    <row r="8" spans="1:3" x14ac:dyDescent="0.2">
      <c r="A8" s="144">
        <v>1.1000000000000001</v>
      </c>
      <c r="B8" s="140" t="s">
        <v>401</v>
      </c>
      <c r="C8" s="141" t="s">
        <v>415</v>
      </c>
    </row>
    <row r="9" spans="1:3" x14ac:dyDescent="0.2">
      <c r="A9" s="144" t="s">
        <v>449</v>
      </c>
      <c r="B9" s="140" t="s">
        <v>414</v>
      </c>
      <c r="C9" s="141" t="s">
        <v>415</v>
      </c>
    </row>
    <row r="10" spans="1:3" x14ac:dyDescent="0.2">
      <c r="A10" s="144"/>
      <c r="B10" s="118"/>
      <c r="C10" s="142"/>
    </row>
    <row r="11" spans="1:3" x14ac:dyDescent="0.2">
      <c r="A11" s="143">
        <v>1</v>
      </c>
      <c r="B11" s="140" t="s">
        <v>413</v>
      </c>
      <c r="C11" s="141" t="s">
        <v>4</v>
      </c>
    </row>
    <row r="12" spans="1:3" x14ac:dyDescent="0.2">
      <c r="A12" s="144">
        <v>1.2</v>
      </c>
      <c r="B12" s="140" t="s">
        <v>401</v>
      </c>
      <c r="C12" s="141" t="s">
        <v>416</v>
      </c>
    </row>
    <row r="13" spans="1:3" x14ac:dyDescent="0.2">
      <c r="A13" s="143" t="s">
        <v>424</v>
      </c>
      <c r="B13" s="140" t="s">
        <v>414</v>
      </c>
      <c r="C13" s="141" t="s">
        <v>416</v>
      </c>
    </row>
    <row r="14" spans="1:3" x14ac:dyDescent="0.2">
      <c r="A14" s="144"/>
      <c r="B14" s="118"/>
      <c r="C14" s="142"/>
    </row>
    <row r="15" spans="1:3" x14ac:dyDescent="0.2">
      <c r="A15" s="143">
        <v>1</v>
      </c>
      <c r="B15" s="140" t="s">
        <v>413</v>
      </c>
      <c r="C15" s="141" t="s">
        <v>4</v>
      </c>
    </row>
    <row r="16" spans="1:3" x14ac:dyDescent="0.2">
      <c r="A16" s="144">
        <v>1.2</v>
      </c>
      <c r="B16" s="140" t="s">
        <v>401</v>
      </c>
      <c r="C16" s="141" t="s">
        <v>416</v>
      </c>
    </row>
    <row r="17" spans="1:3" x14ac:dyDescent="0.2">
      <c r="A17" s="143" t="s">
        <v>426</v>
      </c>
      <c r="B17" s="140" t="s">
        <v>414</v>
      </c>
      <c r="C17" s="141" t="s">
        <v>427</v>
      </c>
    </row>
    <row r="18" spans="1:3" x14ac:dyDescent="0.2">
      <c r="A18" s="144"/>
      <c r="B18" s="118"/>
      <c r="C18" s="142"/>
    </row>
    <row r="19" spans="1:3" x14ac:dyDescent="0.2">
      <c r="A19" s="143">
        <v>1</v>
      </c>
      <c r="B19" s="140" t="s">
        <v>413</v>
      </c>
      <c r="C19" s="141" t="s">
        <v>4</v>
      </c>
    </row>
    <row r="20" spans="1:3" x14ac:dyDescent="0.2">
      <c r="A20" s="144">
        <v>1.2</v>
      </c>
      <c r="B20" s="140" t="s">
        <v>401</v>
      </c>
      <c r="C20" s="141" t="s">
        <v>416</v>
      </c>
    </row>
    <row r="21" spans="1:3" x14ac:dyDescent="0.2">
      <c r="A21" s="143" t="s">
        <v>428</v>
      </c>
      <c r="B21" s="140" t="s">
        <v>414</v>
      </c>
      <c r="C21" s="141" t="s">
        <v>429</v>
      </c>
    </row>
    <row r="22" spans="1:3" x14ac:dyDescent="0.2">
      <c r="A22" s="144"/>
      <c r="B22" s="118"/>
      <c r="C22" s="142"/>
    </row>
    <row r="23" spans="1:3" x14ac:dyDescent="0.2">
      <c r="A23" s="143">
        <v>1</v>
      </c>
      <c r="B23" s="140" t="s">
        <v>413</v>
      </c>
      <c r="C23" s="141" t="s">
        <v>4</v>
      </c>
    </row>
    <row r="24" spans="1:3" x14ac:dyDescent="0.2">
      <c r="A24" s="144">
        <v>1.2</v>
      </c>
      <c r="B24" s="140" t="s">
        <v>401</v>
      </c>
      <c r="C24" s="141" t="s">
        <v>416</v>
      </c>
    </row>
    <row r="25" spans="1:3" x14ac:dyDescent="0.2">
      <c r="A25" s="143" t="s">
        <v>761</v>
      </c>
      <c r="B25" s="140" t="s">
        <v>414</v>
      </c>
      <c r="C25" s="141" t="s">
        <v>741</v>
      </c>
    </row>
    <row r="26" spans="1:3" x14ac:dyDescent="0.2">
      <c r="A26" s="143"/>
      <c r="B26" s="140"/>
      <c r="C26" s="141"/>
    </row>
    <row r="27" spans="1:3" x14ac:dyDescent="0.2">
      <c r="A27" s="143">
        <v>1</v>
      </c>
      <c r="B27" s="140" t="s">
        <v>413</v>
      </c>
      <c r="C27" s="141" t="s">
        <v>4</v>
      </c>
    </row>
    <row r="28" spans="1:3" x14ac:dyDescent="0.2">
      <c r="A28" s="144">
        <v>1.3</v>
      </c>
      <c r="B28" s="140" t="s">
        <v>401</v>
      </c>
      <c r="C28" s="141" t="s">
        <v>448</v>
      </c>
    </row>
    <row r="29" spans="1:3" x14ac:dyDescent="0.2">
      <c r="A29" s="143" t="s">
        <v>425</v>
      </c>
      <c r="B29" s="140" t="s">
        <v>414</v>
      </c>
      <c r="C29" s="141" t="s">
        <v>448</v>
      </c>
    </row>
    <row r="30" spans="1:3" x14ac:dyDescent="0.2">
      <c r="A30" s="143"/>
      <c r="B30" s="140"/>
      <c r="C30" s="141"/>
    </row>
    <row r="31" spans="1:3" x14ac:dyDescent="0.2">
      <c r="A31" s="143">
        <v>2</v>
      </c>
      <c r="B31" s="140" t="s">
        <v>413</v>
      </c>
      <c r="C31" s="141" t="s">
        <v>97</v>
      </c>
    </row>
    <row r="32" spans="1:3" x14ac:dyDescent="0.2">
      <c r="A32" s="144">
        <v>2.1</v>
      </c>
      <c r="B32" s="140" t="s">
        <v>401</v>
      </c>
      <c r="C32" s="141" t="s">
        <v>418</v>
      </c>
    </row>
    <row r="33" spans="1:3" x14ac:dyDescent="0.2">
      <c r="A33" s="143" t="s">
        <v>417</v>
      </c>
      <c r="B33" s="140" t="s">
        <v>414</v>
      </c>
      <c r="C33" s="141" t="s">
        <v>418</v>
      </c>
    </row>
    <row r="34" spans="1:3" x14ac:dyDescent="0.2">
      <c r="A34" s="144"/>
      <c r="B34" s="118"/>
      <c r="C34" s="142"/>
    </row>
    <row r="35" spans="1:3" x14ac:dyDescent="0.2">
      <c r="A35" s="143">
        <v>2</v>
      </c>
      <c r="B35" s="140" t="s">
        <v>413</v>
      </c>
      <c r="C35" s="141" t="s">
        <v>97</v>
      </c>
    </row>
    <row r="36" spans="1:3" x14ac:dyDescent="0.2">
      <c r="A36" s="144">
        <v>2.2000000000000002</v>
      </c>
      <c r="B36" s="140" t="s">
        <v>401</v>
      </c>
      <c r="C36" s="141" t="s">
        <v>419</v>
      </c>
    </row>
    <row r="37" spans="1:3" x14ac:dyDescent="0.2">
      <c r="A37" s="143" t="s">
        <v>446</v>
      </c>
      <c r="B37" s="140" t="s">
        <v>414</v>
      </c>
      <c r="C37" s="141" t="s">
        <v>419</v>
      </c>
    </row>
    <row r="38" spans="1:3" x14ac:dyDescent="0.2">
      <c r="A38" s="143" t="s">
        <v>879</v>
      </c>
      <c r="B38" s="140" t="s">
        <v>414</v>
      </c>
      <c r="C38" s="141" t="s">
        <v>419</v>
      </c>
    </row>
    <row r="39" spans="1:3" x14ac:dyDescent="0.2">
      <c r="A39" s="143"/>
      <c r="B39" s="140"/>
      <c r="C39" s="141"/>
    </row>
    <row r="40" spans="1:3" x14ac:dyDescent="0.2">
      <c r="A40" s="143">
        <v>2</v>
      </c>
      <c r="B40" s="140" t="s">
        <v>413</v>
      </c>
      <c r="C40" s="141" t="s">
        <v>97</v>
      </c>
    </row>
    <row r="41" spans="1:3" x14ac:dyDescent="0.2">
      <c r="A41" s="144">
        <v>2.2999999999999998</v>
      </c>
      <c r="B41" s="140" t="s">
        <v>401</v>
      </c>
      <c r="C41" s="141" t="s">
        <v>2</v>
      </c>
    </row>
    <row r="42" spans="1:3" x14ac:dyDescent="0.2">
      <c r="A42" s="143" t="s">
        <v>452</v>
      </c>
      <c r="B42" s="140" t="s">
        <v>414</v>
      </c>
      <c r="C42" s="141" t="s">
        <v>2</v>
      </c>
    </row>
    <row r="43" spans="1:3" x14ac:dyDescent="0.2">
      <c r="A43" s="143"/>
      <c r="B43" s="140"/>
      <c r="C43" s="141"/>
    </row>
    <row r="44" spans="1:3" x14ac:dyDescent="0.2">
      <c r="A44" s="143">
        <v>2</v>
      </c>
      <c r="B44" s="140" t="s">
        <v>413</v>
      </c>
      <c r="C44" s="141" t="s">
        <v>97</v>
      </c>
    </row>
    <row r="45" spans="1:3" x14ac:dyDescent="0.2">
      <c r="A45" s="144">
        <v>2.2999999999999998</v>
      </c>
      <c r="B45" s="140" t="s">
        <v>401</v>
      </c>
      <c r="C45" s="141" t="s">
        <v>2</v>
      </c>
    </row>
    <row r="46" spans="1:3" x14ac:dyDescent="0.2">
      <c r="A46" s="143" t="s">
        <v>726</v>
      </c>
      <c r="B46" s="140" t="s">
        <v>414</v>
      </c>
      <c r="C46" s="141" t="s">
        <v>774</v>
      </c>
    </row>
    <row r="47" spans="1:3" x14ac:dyDescent="0.2">
      <c r="A47" s="143"/>
      <c r="B47" s="140"/>
      <c r="C47" s="141"/>
    </row>
    <row r="48" spans="1:3" x14ac:dyDescent="0.2">
      <c r="A48" s="143">
        <v>3</v>
      </c>
      <c r="B48" s="140" t="s">
        <v>413</v>
      </c>
      <c r="C48" s="141" t="s">
        <v>421</v>
      </c>
    </row>
    <row r="49" spans="1:3" x14ac:dyDescent="0.2">
      <c r="A49" s="144">
        <v>3.1</v>
      </c>
      <c r="B49" s="140" t="s">
        <v>401</v>
      </c>
      <c r="C49" s="141" t="s">
        <v>422</v>
      </c>
    </row>
    <row r="50" spans="1:3" x14ac:dyDescent="0.2">
      <c r="A50" s="143" t="s">
        <v>420</v>
      </c>
      <c r="B50" s="140" t="s">
        <v>414</v>
      </c>
      <c r="C50" s="141" t="s">
        <v>422</v>
      </c>
    </row>
    <row r="51" spans="1:3" x14ac:dyDescent="0.2">
      <c r="A51" s="144"/>
      <c r="B51" s="118"/>
      <c r="C51" s="142"/>
    </row>
    <row r="52" spans="1:3" x14ac:dyDescent="0.2">
      <c r="A52" s="143">
        <v>3</v>
      </c>
      <c r="B52" s="140" t="s">
        <v>413</v>
      </c>
      <c r="C52" s="141" t="s">
        <v>421</v>
      </c>
    </row>
    <row r="53" spans="1:3" x14ac:dyDescent="0.2">
      <c r="A53" s="144">
        <v>3.1</v>
      </c>
      <c r="B53" s="140" t="s">
        <v>401</v>
      </c>
      <c r="C53" s="141" t="s">
        <v>422</v>
      </c>
    </row>
    <row r="54" spans="1:3" x14ac:dyDescent="0.2">
      <c r="A54" s="143" t="s">
        <v>423</v>
      </c>
      <c r="B54" s="140" t="s">
        <v>414</v>
      </c>
      <c r="C54" s="141" t="s">
        <v>281</v>
      </c>
    </row>
    <row r="55" spans="1:3" x14ac:dyDescent="0.2">
      <c r="A55" s="143"/>
      <c r="B55" s="140"/>
      <c r="C55" s="141"/>
    </row>
    <row r="56" spans="1:3" x14ac:dyDescent="0.2">
      <c r="A56" s="152"/>
      <c r="B56" s="151"/>
      <c r="C56" s="153"/>
    </row>
    <row r="57" spans="1:3" x14ac:dyDescent="0.2">
      <c r="A57" s="152"/>
      <c r="B57" s="151"/>
      <c r="C57" s="153"/>
    </row>
    <row r="58" spans="1:3" x14ac:dyDescent="0.2">
      <c r="A58" s="152"/>
      <c r="B58" s="151"/>
      <c r="C58" s="153"/>
    </row>
    <row r="59" spans="1:3" x14ac:dyDescent="0.2">
      <c r="A59" s="152"/>
      <c r="B59" s="151"/>
      <c r="C59" s="153"/>
    </row>
    <row r="60" spans="1:3" x14ac:dyDescent="0.2">
      <c r="A60" s="537" t="s">
        <v>406</v>
      </c>
      <c r="B60" s="537"/>
      <c r="C60" s="537"/>
    </row>
    <row r="61" spans="1:3" x14ac:dyDescent="0.2">
      <c r="A61" s="537" t="s">
        <v>457</v>
      </c>
      <c r="B61" s="537"/>
      <c r="C61" s="537"/>
    </row>
    <row r="62" spans="1:3" x14ac:dyDescent="0.2">
      <c r="A62" s="537" t="s">
        <v>535</v>
      </c>
      <c r="B62" s="537"/>
      <c r="C62" s="537"/>
    </row>
    <row r="63" spans="1:3" x14ac:dyDescent="0.2">
      <c r="A63" s="330"/>
      <c r="B63" s="330"/>
      <c r="C63" s="330"/>
    </row>
    <row r="64" spans="1:3" x14ac:dyDescent="0.2">
      <c r="A64" s="331" t="s">
        <v>443</v>
      </c>
      <c r="B64" s="331" t="s">
        <v>444</v>
      </c>
      <c r="C64" s="332" t="s">
        <v>445</v>
      </c>
    </row>
    <row r="65" spans="1:4" x14ac:dyDescent="0.2">
      <c r="A65" s="143">
        <v>3</v>
      </c>
      <c r="B65" s="140" t="s">
        <v>413</v>
      </c>
      <c r="C65" s="141" t="s">
        <v>421</v>
      </c>
    </row>
    <row r="66" spans="1:4" x14ac:dyDescent="0.2">
      <c r="A66" s="144">
        <v>3.1</v>
      </c>
      <c r="B66" s="140" t="s">
        <v>401</v>
      </c>
      <c r="C66" s="141" t="s">
        <v>422</v>
      </c>
    </row>
    <row r="67" spans="1:4" x14ac:dyDescent="0.2">
      <c r="A67" s="143" t="s">
        <v>519</v>
      </c>
      <c r="B67" s="140" t="s">
        <v>414</v>
      </c>
      <c r="C67" s="141" t="s">
        <v>826</v>
      </c>
    </row>
    <row r="68" spans="1:4" x14ac:dyDescent="0.2">
      <c r="A68" s="144"/>
      <c r="B68" s="118"/>
      <c r="C68" s="142"/>
    </row>
    <row r="69" spans="1:4" x14ac:dyDescent="0.2">
      <c r="A69" s="143">
        <v>3</v>
      </c>
      <c r="B69" s="140" t="s">
        <v>413</v>
      </c>
      <c r="C69" s="141" t="s">
        <v>421</v>
      </c>
    </row>
    <row r="70" spans="1:4" x14ac:dyDescent="0.2">
      <c r="A70" s="144">
        <v>3.2</v>
      </c>
      <c r="B70" s="140" t="s">
        <v>401</v>
      </c>
      <c r="C70" s="141" t="s">
        <v>431</v>
      </c>
    </row>
    <row r="71" spans="1:4" x14ac:dyDescent="0.2">
      <c r="A71" s="143" t="s">
        <v>432</v>
      </c>
      <c r="B71" s="140" t="s">
        <v>414</v>
      </c>
      <c r="C71" s="141" t="s">
        <v>447</v>
      </c>
    </row>
    <row r="72" spans="1:4" x14ac:dyDescent="0.2">
      <c r="A72" s="144"/>
      <c r="B72" s="118"/>
      <c r="C72" s="142"/>
    </row>
    <row r="73" spans="1:4" x14ac:dyDescent="0.2">
      <c r="A73" s="143">
        <v>3</v>
      </c>
      <c r="B73" s="140" t="s">
        <v>413</v>
      </c>
      <c r="C73" s="141" t="s">
        <v>421</v>
      </c>
    </row>
    <row r="74" spans="1:4" x14ac:dyDescent="0.2">
      <c r="A74" s="144">
        <v>3.2</v>
      </c>
      <c r="B74" s="140" t="s">
        <v>401</v>
      </c>
      <c r="C74" s="141" t="s">
        <v>98</v>
      </c>
    </row>
    <row r="75" spans="1:4" x14ac:dyDescent="0.2">
      <c r="A75" s="143" t="s">
        <v>433</v>
      </c>
      <c r="B75" s="140" t="s">
        <v>414</v>
      </c>
      <c r="C75" s="141" t="s">
        <v>212</v>
      </c>
    </row>
    <row r="76" spans="1:4" x14ac:dyDescent="0.2">
      <c r="A76" s="144"/>
      <c r="B76" s="118"/>
      <c r="C76" s="142"/>
    </row>
    <row r="77" spans="1:4" x14ac:dyDescent="0.2">
      <c r="A77" s="143">
        <v>3</v>
      </c>
      <c r="B77" s="140" t="s">
        <v>413</v>
      </c>
      <c r="C77" s="141" t="s">
        <v>421</v>
      </c>
    </row>
    <row r="78" spans="1:4" x14ac:dyDescent="0.2">
      <c r="A78" s="144">
        <v>3.3</v>
      </c>
      <c r="B78" s="140" t="s">
        <v>401</v>
      </c>
      <c r="C78" s="141" t="s">
        <v>96</v>
      </c>
      <c r="D78" s="139"/>
    </row>
    <row r="79" spans="1:4" x14ac:dyDescent="0.2">
      <c r="A79" s="143" t="s">
        <v>435</v>
      </c>
      <c r="B79" s="140" t="s">
        <v>414</v>
      </c>
      <c r="C79" s="141" t="s">
        <v>226</v>
      </c>
      <c r="D79" s="139"/>
    </row>
    <row r="80" spans="1:4" x14ac:dyDescent="0.2">
      <c r="A80" s="144"/>
      <c r="B80" s="118"/>
      <c r="C80" s="142"/>
    </row>
    <row r="81" spans="1:3" x14ac:dyDescent="0.2">
      <c r="A81" s="143">
        <v>3</v>
      </c>
      <c r="B81" s="140" t="s">
        <v>413</v>
      </c>
      <c r="C81" s="141" t="s">
        <v>421</v>
      </c>
    </row>
    <row r="82" spans="1:3" x14ac:dyDescent="0.2">
      <c r="A82" s="144">
        <v>3.3</v>
      </c>
      <c r="B82" s="140" t="s">
        <v>401</v>
      </c>
      <c r="C82" s="141" t="s">
        <v>96</v>
      </c>
    </row>
    <row r="83" spans="1:3" x14ac:dyDescent="0.2">
      <c r="A83" s="143" t="s">
        <v>437</v>
      </c>
      <c r="B83" s="140" t="s">
        <v>414</v>
      </c>
      <c r="C83" s="141" t="s">
        <v>436</v>
      </c>
    </row>
    <row r="84" spans="1:3" x14ac:dyDescent="0.2">
      <c r="A84" s="144"/>
      <c r="B84" s="118"/>
      <c r="C84" s="142"/>
    </row>
    <row r="85" spans="1:3" x14ac:dyDescent="0.2">
      <c r="A85" s="143">
        <v>3</v>
      </c>
      <c r="B85" s="140" t="s">
        <v>413</v>
      </c>
      <c r="C85" s="141" t="s">
        <v>421</v>
      </c>
    </row>
    <row r="86" spans="1:3" x14ac:dyDescent="0.2">
      <c r="A86" s="144">
        <v>3.3</v>
      </c>
      <c r="B86" s="140" t="s">
        <v>401</v>
      </c>
      <c r="C86" s="141" t="s">
        <v>96</v>
      </c>
    </row>
    <row r="87" spans="1:3" x14ac:dyDescent="0.2">
      <c r="A87" s="143" t="s">
        <v>438</v>
      </c>
      <c r="B87" s="140" t="s">
        <v>414</v>
      </c>
      <c r="C87" s="141" t="s">
        <v>227</v>
      </c>
    </row>
    <row r="88" spans="1:3" x14ac:dyDescent="0.2">
      <c r="A88" s="144"/>
      <c r="B88" s="118"/>
      <c r="C88" s="142"/>
    </row>
    <row r="89" spans="1:3" x14ac:dyDescent="0.2">
      <c r="A89" s="143">
        <v>3</v>
      </c>
      <c r="B89" s="140" t="s">
        <v>413</v>
      </c>
      <c r="C89" s="141" t="s">
        <v>421</v>
      </c>
    </row>
    <row r="90" spans="1:3" x14ac:dyDescent="0.2">
      <c r="A90" s="144">
        <v>3.3</v>
      </c>
      <c r="B90" s="140" t="s">
        <v>401</v>
      </c>
      <c r="C90" s="141" t="s">
        <v>96</v>
      </c>
    </row>
    <row r="91" spans="1:3" x14ac:dyDescent="0.2">
      <c r="A91" s="143" t="s">
        <v>439</v>
      </c>
      <c r="B91" s="140" t="s">
        <v>414</v>
      </c>
      <c r="C91" s="141" t="s">
        <v>291</v>
      </c>
    </row>
    <row r="92" spans="1:3" x14ac:dyDescent="0.2">
      <c r="A92" s="144"/>
      <c r="B92" s="118"/>
      <c r="C92" s="142"/>
    </row>
    <row r="93" spans="1:3" x14ac:dyDescent="0.2">
      <c r="A93" s="143">
        <v>3</v>
      </c>
      <c r="B93" s="140" t="s">
        <v>413</v>
      </c>
      <c r="C93" s="141" t="s">
        <v>421</v>
      </c>
    </row>
    <row r="94" spans="1:3" x14ac:dyDescent="0.2">
      <c r="A94" s="144">
        <v>3.3</v>
      </c>
      <c r="B94" s="140" t="s">
        <v>401</v>
      </c>
      <c r="C94" s="141" t="s">
        <v>96</v>
      </c>
    </row>
    <row r="95" spans="1:3" x14ac:dyDescent="0.2">
      <c r="A95" s="143" t="s">
        <v>440</v>
      </c>
      <c r="B95" s="140" t="s">
        <v>414</v>
      </c>
      <c r="C95" s="141" t="s">
        <v>231</v>
      </c>
    </row>
    <row r="96" spans="1:3" x14ac:dyDescent="0.2">
      <c r="A96" s="144"/>
      <c r="B96" s="118"/>
      <c r="C96" s="142"/>
    </row>
    <row r="97" spans="1:3" x14ac:dyDescent="0.2">
      <c r="A97" s="143">
        <v>3</v>
      </c>
      <c r="B97" s="140" t="s">
        <v>413</v>
      </c>
      <c r="C97" s="141" t="s">
        <v>421</v>
      </c>
    </row>
    <row r="98" spans="1:3" x14ac:dyDescent="0.2">
      <c r="A98" s="144">
        <v>3.4</v>
      </c>
      <c r="B98" s="140" t="s">
        <v>401</v>
      </c>
      <c r="C98" s="141" t="s">
        <v>434</v>
      </c>
    </row>
    <row r="99" spans="1:3" x14ac:dyDescent="0.2">
      <c r="A99" s="143" t="s">
        <v>454</v>
      </c>
      <c r="B99" s="140" t="s">
        <v>414</v>
      </c>
      <c r="C99" s="141" t="s">
        <v>453</v>
      </c>
    </row>
    <row r="100" spans="1:3" x14ac:dyDescent="0.2">
      <c r="A100" s="144"/>
      <c r="B100" s="118"/>
      <c r="C100" s="142"/>
    </row>
    <row r="101" spans="1:3" x14ac:dyDescent="0.2">
      <c r="A101" s="143">
        <v>3</v>
      </c>
      <c r="B101" s="140" t="s">
        <v>413</v>
      </c>
      <c r="C101" s="141" t="s">
        <v>421</v>
      </c>
    </row>
    <row r="102" spans="1:3" x14ac:dyDescent="0.2">
      <c r="A102" s="144">
        <v>3.5</v>
      </c>
      <c r="B102" s="140" t="s">
        <v>401</v>
      </c>
      <c r="C102" s="141" t="s">
        <v>430</v>
      </c>
    </row>
    <row r="103" spans="1:3" x14ac:dyDescent="0.2">
      <c r="A103" s="143" t="s">
        <v>455</v>
      </c>
      <c r="B103" s="140" t="s">
        <v>414</v>
      </c>
      <c r="C103" s="141" t="s">
        <v>430</v>
      </c>
    </row>
    <row r="104" spans="1:3" x14ac:dyDescent="0.2">
      <c r="A104" s="144"/>
      <c r="B104" s="118"/>
      <c r="C104" s="142"/>
    </row>
    <row r="105" spans="1:3" x14ac:dyDescent="0.2">
      <c r="A105" s="143">
        <v>3</v>
      </c>
      <c r="B105" s="140" t="s">
        <v>413</v>
      </c>
      <c r="C105" s="141" t="s">
        <v>421</v>
      </c>
    </row>
    <row r="106" spans="1:3" x14ac:dyDescent="0.2">
      <c r="A106" s="144">
        <v>3.6</v>
      </c>
      <c r="B106" s="140" t="s">
        <v>401</v>
      </c>
      <c r="C106" s="141" t="s">
        <v>442</v>
      </c>
    </row>
    <row r="107" spans="1:3" x14ac:dyDescent="0.2">
      <c r="A107" s="143" t="s">
        <v>456</v>
      </c>
      <c r="B107" s="140" t="s">
        <v>414</v>
      </c>
      <c r="C107" s="141" t="s">
        <v>442</v>
      </c>
    </row>
    <row r="108" spans="1:3" x14ac:dyDescent="0.2">
      <c r="A108" s="143"/>
      <c r="B108" s="140"/>
      <c r="C108" s="141"/>
    </row>
    <row r="109" spans="1:3" x14ac:dyDescent="0.2">
      <c r="A109" s="144">
        <v>5</v>
      </c>
      <c r="B109" s="140" t="s">
        <v>413</v>
      </c>
      <c r="C109" s="141" t="s">
        <v>107</v>
      </c>
    </row>
    <row r="110" spans="1:3" x14ac:dyDescent="0.2">
      <c r="A110" s="144">
        <v>5.0999999999999996</v>
      </c>
      <c r="B110" s="140" t="s">
        <v>401</v>
      </c>
      <c r="C110" s="141" t="s">
        <v>213</v>
      </c>
    </row>
    <row r="111" spans="1:3" x14ac:dyDescent="0.2">
      <c r="A111" s="144" t="s">
        <v>441</v>
      </c>
      <c r="B111" s="140" t="s">
        <v>827</v>
      </c>
      <c r="C111" s="141" t="s">
        <v>213</v>
      </c>
    </row>
  </sheetData>
  <mergeCells count="6">
    <mergeCell ref="A62:C62"/>
    <mergeCell ref="A2:C2"/>
    <mergeCell ref="A3:C3"/>
    <mergeCell ref="A4:C4"/>
    <mergeCell ref="A60:C60"/>
    <mergeCell ref="A61:C6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F57"/>
  <sheetViews>
    <sheetView showGridLines="0" workbookViewId="0">
      <selection activeCell="F9" sqref="F9"/>
    </sheetView>
  </sheetViews>
  <sheetFormatPr baseColWidth="10" defaultRowHeight="12.75" x14ac:dyDescent="0.2"/>
  <cols>
    <col min="1" max="1" width="10.140625" style="4" customWidth="1"/>
    <col min="2" max="2" width="48" style="4" customWidth="1"/>
    <col min="3" max="3" width="11.7109375" style="117" bestFit="1" customWidth="1"/>
    <col min="4" max="4" width="9.28515625" style="4" customWidth="1"/>
    <col min="5" max="16384" width="11.42578125" style="4"/>
  </cols>
  <sheetData>
    <row r="1" spans="1:6" ht="18.75" x14ac:dyDescent="0.2">
      <c r="A1" s="540" t="s">
        <v>406</v>
      </c>
      <c r="B1" s="541"/>
      <c r="C1" s="541"/>
      <c r="D1" s="541"/>
    </row>
    <row r="2" spans="1:6" ht="15" x14ac:dyDescent="0.2">
      <c r="A2" s="542" t="s">
        <v>931</v>
      </c>
      <c r="B2" s="539"/>
      <c r="C2" s="539"/>
      <c r="D2" s="539"/>
    </row>
    <row r="3" spans="1:6" ht="15" x14ac:dyDescent="0.2">
      <c r="A3" s="333">
        <v>2</v>
      </c>
      <c r="B3" s="354" t="s">
        <v>97</v>
      </c>
      <c r="C3" s="355"/>
      <c r="D3" s="355"/>
    </row>
    <row r="4" spans="1:6" ht="18.75" x14ac:dyDescent="0.3">
      <c r="A4" s="336">
        <v>2.2999999999999998</v>
      </c>
      <c r="B4" s="337" t="s">
        <v>2</v>
      </c>
      <c r="C4" s="358"/>
      <c r="D4" s="359"/>
    </row>
    <row r="5" spans="1:6" ht="19.5" customHeight="1" x14ac:dyDescent="0.3">
      <c r="A5" s="486" t="s">
        <v>452</v>
      </c>
      <c r="B5" s="337" t="s">
        <v>2</v>
      </c>
      <c r="C5" s="360"/>
      <c r="D5" s="359"/>
    </row>
    <row r="6" spans="1:6" x14ac:dyDescent="0.2">
      <c r="A6" s="19" t="s">
        <v>5</v>
      </c>
      <c r="B6" s="21" t="s">
        <v>6</v>
      </c>
      <c r="C6" s="126" t="s">
        <v>400</v>
      </c>
      <c r="D6" s="33" t="s">
        <v>7</v>
      </c>
      <c r="E6" s="473"/>
      <c r="F6" s="473"/>
    </row>
    <row r="7" spans="1:6" x14ac:dyDescent="0.2">
      <c r="A7" s="19"/>
      <c r="B7" s="21"/>
      <c r="C7" s="126"/>
      <c r="D7" s="33"/>
    </row>
    <row r="8" spans="1:6" x14ac:dyDescent="0.2">
      <c r="A8" s="54"/>
      <c r="B8" s="56" t="s">
        <v>7</v>
      </c>
      <c r="C8" s="116">
        <f>SUM(C9:C54)</f>
        <v>315559.51</v>
      </c>
      <c r="D8" s="40">
        <f>+D9+D48</f>
        <v>315559.51</v>
      </c>
      <c r="E8" s="18"/>
    </row>
    <row r="9" spans="1:6" x14ac:dyDescent="0.2">
      <c r="A9" s="54">
        <v>5</v>
      </c>
      <c r="B9" s="56" t="s">
        <v>8</v>
      </c>
      <c r="C9" s="116"/>
      <c r="D9" s="40">
        <f>+D10+D34+D44</f>
        <v>295559.51</v>
      </c>
    </row>
    <row r="10" spans="1:6" x14ac:dyDescent="0.2">
      <c r="A10" s="42">
        <v>5.0999999999999996</v>
      </c>
      <c r="B10" s="43" t="s">
        <v>9</v>
      </c>
      <c r="C10" s="61"/>
      <c r="D10" s="40">
        <f>+D11+D15+D29</f>
        <v>88547.51</v>
      </c>
    </row>
    <row r="11" spans="1:6" x14ac:dyDescent="0.2">
      <c r="A11" s="42" t="s">
        <v>10</v>
      </c>
      <c r="B11" s="43" t="s">
        <v>11</v>
      </c>
      <c r="C11" s="116"/>
      <c r="D11" s="40">
        <f>SUM(C12:C14)</f>
        <v>67752</v>
      </c>
    </row>
    <row r="12" spans="1:6" x14ac:dyDescent="0.2">
      <c r="A12" s="45" t="s">
        <v>251</v>
      </c>
      <c r="B12" s="46" t="s">
        <v>833</v>
      </c>
      <c r="C12" s="61"/>
      <c r="D12" s="41"/>
    </row>
    <row r="13" spans="1:6" x14ac:dyDescent="0.2">
      <c r="A13" s="45" t="s">
        <v>183</v>
      </c>
      <c r="B13" s="46" t="s">
        <v>832</v>
      </c>
      <c r="C13" s="48">
        <v>67752</v>
      </c>
      <c r="D13" s="44"/>
      <c r="E13" s="467"/>
    </row>
    <row r="14" spans="1:6" x14ac:dyDescent="0.2">
      <c r="A14" s="45" t="s">
        <v>760</v>
      </c>
      <c r="B14" s="46" t="s">
        <v>831</v>
      </c>
      <c r="C14" s="48"/>
      <c r="D14" s="47"/>
    </row>
    <row r="15" spans="1:6" x14ac:dyDescent="0.2">
      <c r="A15" s="42" t="s">
        <v>252</v>
      </c>
      <c r="B15" s="43" t="s">
        <v>253</v>
      </c>
      <c r="C15" s="48"/>
      <c r="D15" s="44">
        <f>SUM(C16:C17)</f>
        <v>7256.4</v>
      </c>
    </row>
    <row r="16" spans="1:6" x14ac:dyDescent="0.2">
      <c r="A16" s="45" t="s">
        <v>254</v>
      </c>
      <c r="B16" s="46" t="s">
        <v>255</v>
      </c>
      <c r="C16" s="61">
        <v>5646</v>
      </c>
      <c r="D16" s="40"/>
    </row>
    <row r="17" spans="1:4" x14ac:dyDescent="0.2">
      <c r="A17" s="45" t="s">
        <v>256</v>
      </c>
      <c r="B17" s="46" t="s">
        <v>257</v>
      </c>
      <c r="C17" s="61">
        <v>1610.4</v>
      </c>
      <c r="D17" s="58"/>
    </row>
    <row r="18" spans="1:4" x14ac:dyDescent="0.2">
      <c r="A18" s="54" t="s">
        <v>349</v>
      </c>
      <c r="B18" s="56" t="s">
        <v>350</v>
      </c>
      <c r="C18" s="48"/>
      <c r="D18" s="44"/>
    </row>
    <row r="19" spans="1:4" x14ac:dyDescent="0.2">
      <c r="A19" s="57" t="s">
        <v>508</v>
      </c>
      <c r="B19" s="58" t="s">
        <v>509</v>
      </c>
      <c r="C19" s="48"/>
      <c r="D19" s="49"/>
    </row>
    <row r="20" spans="1:4" x14ac:dyDescent="0.2">
      <c r="A20" s="57" t="s">
        <v>351</v>
      </c>
      <c r="B20" s="58" t="s">
        <v>830</v>
      </c>
      <c r="C20" s="48"/>
      <c r="D20" s="49"/>
    </row>
    <row r="21" spans="1:4" x14ac:dyDescent="0.2">
      <c r="A21" s="42" t="s">
        <v>184</v>
      </c>
      <c r="B21" s="59" t="s">
        <v>185</v>
      </c>
      <c r="C21" s="48"/>
      <c r="D21" s="49"/>
    </row>
    <row r="22" spans="1:4" x14ac:dyDescent="0.2">
      <c r="A22" s="45" t="s">
        <v>277</v>
      </c>
      <c r="B22" s="60" t="s">
        <v>719</v>
      </c>
      <c r="C22" s="48"/>
      <c r="D22" s="49"/>
    </row>
    <row r="23" spans="1:4" x14ac:dyDescent="0.2">
      <c r="A23" s="45" t="s">
        <v>479</v>
      </c>
      <c r="B23" s="46" t="s">
        <v>480</v>
      </c>
      <c r="C23" s="48"/>
      <c r="D23" s="49"/>
    </row>
    <row r="24" spans="1:4" x14ac:dyDescent="0.2">
      <c r="A24" s="42" t="s">
        <v>187</v>
      </c>
      <c r="B24" s="43" t="s">
        <v>186</v>
      </c>
      <c r="C24" s="48"/>
      <c r="D24" s="49"/>
    </row>
    <row r="25" spans="1:4" x14ac:dyDescent="0.2">
      <c r="A25" s="42" t="s">
        <v>766</v>
      </c>
      <c r="B25" s="43" t="s">
        <v>767</v>
      </c>
      <c r="C25" s="48"/>
      <c r="D25" s="49"/>
    </row>
    <row r="26" spans="1:4" x14ac:dyDescent="0.2">
      <c r="A26" s="45" t="s">
        <v>258</v>
      </c>
      <c r="B26" s="46" t="s">
        <v>259</v>
      </c>
      <c r="C26" s="48"/>
      <c r="D26" s="49"/>
    </row>
    <row r="27" spans="1:4" x14ac:dyDescent="0.2">
      <c r="A27" s="45" t="s">
        <v>769</v>
      </c>
      <c r="B27" s="46" t="s">
        <v>676</v>
      </c>
      <c r="C27" s="48"/>
      <c r="D27" s="49"/>
    </row>
    <row r="28" spans="1:4" x14ac:dyDescent="0.2">
      <c r="A28" s="45" t="s">
        <v>542</v>
      </c>
      <c r="B28" s="46" t="s">
        <v>543</v>
      </c>
      <c r="C28" s="48"/>
      <c r="D28" s="49"/>
    </row>
    <row r="29" spans="1:4" x14ac:dyDescent="0.2">
      <c r="A29" s="42" t="s">
        <v>12</v>
      </c>
      <c r="B29" s="43" t="s">
        <v>13</v>
      </c>
      <c r="C29" s="48"/>
      <c r="D29" s="216">
        <f>SUM(C30:C31)</f>
        <v>13539.11</v>
      </c>
    </row>
    <row r="30" spans="1:4" x14ac:dyDescent="0.2">
      <c r="A30" s="45" t="s">
        <v>260</v>
      </c>
      <c r="B30" s="46" t="s">
        <v>261</v>
      </c>
      <c r="C30" s="48">
        <v>7893.11</v>
      </c>
      <c r="D30" s="49"/>
    </row>
    <row r="31" spans="1:4" x14ac:dyDescent="0.2">
      <c r="A31" s="45" t="s">
        <v>510</v>
      </c>
      <c r="B31" s="46" t="s">
        <v>700</v>
      </c>
      <c r="C31" s="48">
        <v>5646</v>
      </c>
      <c r="D31" s="49"/>
    </row>
    <row r="32" spans="1:4" x14ac:dyDescent="0.2">
      <c r="A32" s="42" t="s">
        <v>302</v>
      </c>
      <c r="B32" s="43" t="s">
        <v>303</v>
      </c>
      <c r="C32" s="48"/>
      <c r="D32" s="49"/>
    </row>
    <row r="33" spans="1:4" x14ac:dyDescent="0.2">
      <c r="A33" s="45" t="s">
        <v>768</v>
      </c>
      <c r="B33" s="46" t="s">
        <v>776</v>
      </c>
      <c r="C33" s="48"/>
      <c r="D33" s="49"/>
    </row>
    <row r="34" spans="1:4" x14ac:dyDescent="0.2">
      <c r="A34" s="54">
        <v>5.3</v>
      </c>
      <c r="B34" s="56" t="s">
        <v>14</v>
      </c>
      <c r="C34" s="61"/>
      <c r="D34" s="40">
        <f>+D35+D37+D40+D42</f>
        <v>7012</v>
      </c>
    </row>
    <row r="35" spans="1:4" x14ac:dyDescent="0.2">
      <c r="A35" s="54" t="s">
        <v>23</v>
      </c>
      <c r="B35" s="56" t="s">
        <v>583</v>
      </c>
      <c r="C35" s="61"/>
      <c r="D35" s="40">
        <f>SUM(C36)</f>
        <v>600</v>
      </c>
    </row>
    <row r="36" spans="1:4" ht="39" customHeight="1" x14ac:dyDescent="0.2">
      <c r="A36" s="57" t="s">
        <v>26</v>
      </c>
      <c r="B36" s="60" t="s">
        <v>584</v>
      </c>
      <c r="C36" s="61">
        <v>600</v>
      </c>
      <c r="D36" s="40"/>
    </row>
    <row r="37" spans="1:4" x14ac:dyDescent="0.2">
      <c r="A37" s="54" t="s">
        <v>33</v>
      </c>
      <c r="B37" s="56" t="s">
        <v>34</v>
      </c>
      <c r="C37" s="116"/>
      <c r="D37" s="40">
        <f>+C38+C39</f>
        <v>1000</v>
      </c>
    </row>
    <row r="38" spans="1:4" x14ac:dyDescent="0.2">
      <c r="A38" s="57" t="s">
        <v>35</v>
      </c>
      <c r="B38" s="58" t="s">
        <v>36</v>
      </c>
      <c r="C38" s="61">
        <v>500</v>
      </c>
      <c r="D38" s="41"/>
    </row>
    <row r="39" spans="1:4" x14ac:dyDescent="0.2">
      <c r="A39" s="57" t="s">
        <v>37</v>
      </c>
      <c r="B39" s="58" t="s">
        <v>38</v>
      </c>
      <c r="C39" s="61">
        <v>500</v>
      </c>
      <c r="D39" s="41"/>
    </row>
    <row r="40" spans="1:4" x14ac:dyDescent="0.2">
      <c r="A40" s="54" t="s">
        <v>109</v>
      </c>
      <c r="B40" s="56" t="s">
        <v>110</v>
      </c>
      <c r="C40" s="116"/>
      <c r="D40" s="40">
        <f>+C41</f>
        <v>4500</v>
      </c>
    </row>
    <row r="41" spans="1:4" x14ac:dyDescent="0.2">
      <c r="A41" s="57" t="s">
        <v>111</v>
      </c>
      <c r="B41" s="58" t="s">
        <v>844</v>
      </c>
      <c r="C41" s="61">
        <v>4500</v>
      </c>
      <c r="D41" s="41"/>
    </row>
    <row r="42" spans="1:4" x14ac:dyDescent="0.2">
      <c r="A42" s="54" t="s">
        <v>55</v>
      </c>
      <c r="B42" s="56" t="s">
        <v>633</v>
      </c>
      <c r="C42" s="61"/>
      <c r="D42" s="40">
        <f>SUM(C43:C43)</f>
        <v>912</v>
      </c>
    </row>
    <row r="43" spans="1:4" x14ac:dyDescent="0.2">
      <c r="A43" s="57" t="s">
        <v>59</v>
      </c>
      <c r="B43" s="58" t="s">
        <v>837</v>
      </c>
      <c r="C43" s="61">
        <v>912</v>
      </c>
      <c r="D43" s="154"/>
    </row>
    <row r="44" spans="1:4" x14ac:dyDescent="0.2">
      <c r="A44" s="50">
        <v>5.8</v>
      </c>
      <c r="B44" s="87" t="s">
        <v>940</v>
      </c>
      <c r="C44" s="61"/>
      <c r="D44" s="40">
        <f>SUM(C47)</f>
        <v>200000</v>
      </c>
    </row>
    <row r="45" spans="1:4" x14ac:dyDescent="0.2">
      <c r="A45" s="50" t="s">
        <v>941</v>
      </c>
      <c r="B45" s="87" t="s">
        <v>942</v>
      </c>
      <c r="C45" s="61"/>
      <c r="D45" s="154"/>
    </row>
    <row r="46" spans="1:4" x14ac:dyDescent="0.2">
      <c r="A46" s="98" t="s">
        <v>943</v>
      </c>
      <c r="B46" s="87" t="s">
        <v>944</v>
      </c>
      <c r="C46" s="61"/>
      <c r="D46" s="154"/>
    </row>
    <row r="47" spans="1:4" x14ac:dyDescent="0.2">
      <c r="A47" s="52" t="s">
        <v>945</v>
      </c>
      <c r="B47" s="74" t="s">
        <v>946</v>
      </c>
      <c r="C47" s="61">
        <v>200000</v>
      </c>
      <c r="D47" s="154"/>
    </row>
    <row r="48" spans="1:4" x14ac:dyDescent="0.2">
      <c r="A48" s="54">
        <v>7</v>
      </c>
      <c r="B48" s="56" t="s">
        <v>86</v>
      </c>
      <c r="C48" s="116"/>
      <c r="D48" s="40">
        <f>+D49</f>
        <v>20000</v>
      </c>
    </row>
    <row r="49" spans="1:5" x14ac:dyDescent="0.2">
      <c r="A49" s="54">
        <v>7.3</v>
      </c>
      <c r="B49" s="56" t="s">
        <v>609</v>
      </c>
      <c r="C49" s="116"/>
      <c r="D49" s="40">
        <f>+D50</f>
        <v>20000</v>
      </c>
    </row>
    <row r="50" spans="1:5" x14ac:dyDescent="0.2">
      <c r="A50" s="54" t="s">
        <v>141</v>
      </c>
      <c r="B50" s="56" t="s">
        <v>142</v>
      </c>
      <c r="C50" s="116"/>
      <c r="D50" s="40">
        <f>SUM(C52:C54)</f>
        <v>20000</v>
      </c>
    </row>
    <row r="51" spans="1:5" x14ac:dyDescent="0.2">
      <c r="A51" s="54" t="s">
        <v>143</v>
      </c>
      <c r="B51" s="56" t="s">
        <v>48</v>
      </c>
      <c r="C51" s="61"/>
      <c r="D51" s="41"/>
    </row>
    <row r="52" spans="1:5" ht="22.5" x14ac:dyDescent="0.2">
      <c r="A52" s="52" t="s">
        <v>144</v>
      </c>
      <c r="B52" s="62" t="s">
        <v>347</v>
      </c>
      <c r="C52" s="109">
        <v>2000</v>
      </c>
      <c r="D52" s="41"/>
    </row>
    <row r="53" spans="1:5" s="28" customFormat="1" x14ac:dyDescent="0.2">
      <c r="A53" s="52" t="s">
        <v>182</v>
      </c>
      <c r="B53" s="62" t="s">
        <v>348</v>
      </c>
      <c r="C53" s="109">
        <v>15000</v>
      </c>
      <c r="D53" s="53"/>
      <c r="E53" s="167"/>
    </row>
    <row r="54" spans="1:5" s="28" customFormat="1" x14ac:dyDescent="0.2">
      <c r="A54" s="52" t="s">
        <v>190</v>
      </c>
      <c r="B54" s="62" t="s">
        <v>845</v>
      </c>
      <c r="C54" s="109">
        <v>3000</v>
      </c>
      <c r="D54" s="53"/>
    </row>
    <row r="55" spans="1:5" x14ac:dyDescent="0.2">
      <c r="A55" s="22"/>
      <c r="B55" s="22"/>
    </row>
    <row r="57" spans="1:5" x14ac:dyDescent="0.2">
      <c r="C57" s="117">
        <f>SUM(C9:C54)</f>
        <v>315559.51</v>
      </c>
    </row>
  </sheetData>
  <mergeCells count="2">
    <mergeCell ref="A1:D1"/>
    <mergeCell ref="A2:D2"/>
  </mergeCells>
  <phoneticPr fontId="16" type="noConversion"/>
  <pageMargins left="0.74803149606299213" right="0.74803149606299213" top="0.98425196850393704" bottom="0.98425196850393704" header="0" footer="0"/>
  <pageSetup paperSize="9" scale="64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H61"/>
  <sheetViews>
    <sheetView workbookViewId="0">
      <selection activeCell="G10" sqref="F9:G10"/>
    </sheetView>
  </sheetViews>
  <sheetFormatPr baseColWidth="10" defaultRowHeight="12.75" x14ac:dyDescent="0.2"/>
  <cols>
    <col min="1" max="1" width="11.42578125" customWidth="1"/>
    <col min="2" max="2" width="44.7109375" customWidth="1"/>
    <col min="5" max="6" width="11.42578125" style="4"/>
    <col min="7" max="7" width="12.85546875" style="4" bestFit="1" customWidth="1"/>
    <col min="8" max="8" width="13.85546875" style="4" bestFit="1" customWidth="1"/>
  </cols>
  <sheetData>
    <row r="1" spans="1:8" ht="18.75" x14ac:dyDescent="0.2">
      <c r="A1" s="540" t="s">
        <v>406</v>
      </c>
      <c r="B1" s="541"/>
      <c r="C1" s="541"/>
      <c r="D1" s="541"/>
    </row>
    <row r="2" spans="1:8" ht="15" x14ac:dyDescent="0.2">
      <c r="A2" s="542" t="s">
        <v>931</v>
      </c>
      <c r="B2" s="539"/>
      <c r="C2" s="539"/>
      <c r="D2" s="539"/>
    </row>
    <row r="3" spans="1:8" ht="15" x14ac:dyDescent="0.2">
      <c r="A3" s="333">
        <v>2</v>
      </c>
      <c r="B3" s="354" t="s">
        <v>97</v>
      </c>
      <c r="C3" s="355"/>
      <c r="D3" s="355"/>
    </row>
    <row r="4" spans="1:8" ht="18.75" x14ac:dyDescent="0.3">
      <c r="A4" s="336">
        <v>2.2999999999999998</v>
      </c>
      <c r="B4" s="337" t="s">
        <v>2</v>
      </c>
      <c r="C4" s="358"/>
      <c r="D4" s="359"/>
    </row>
    <row r="5" spans="1:8" ht="18.75" x14ac:dyDescent="0.3">
      <c r="A5" s="486" t="s">
        <v>726</v>
      </c>
      <c r="B5" s="337" t="s">
        <v>774</v>
      </c>
      <c r="C5" s="360"/>
      <c r="D5" s="359"/>
    </row>
    <row r="6" spans="1:8" x14ac:dyDescent="0.2">
      <c r="A6" s="19" t="s">
        <v>5</v>
      </c>
      <c r="B6" s="21" t="s">
        <v>6</v>
      </c>
      <c r="C6" s="126" t="s">
        <v>400</v>
      </c>
      <c r="D6" s="33" t="s">
        <v>7</v>
      </c>
      <c r="E6" s="473"/>
      <c r="F6" s="473"/>
      <c r="G6" s="467"/>
      <c r="H6" s="467"/>
    </row>
    <row r="7" spans="1:8" x14ac:dyDescent="0.2">
      <c r="A7" s="19"/>
      <c r="B7" s="21"/>
      <c r="C7" s="126"/>
      <c r="D7" s="33"/>
      <c r="G7" s="467"/>
      <c r="H7" s="467"/>
    </row>
    <row r="8" spans="1:8" x14ac:dyDescent="0.2">
      <c r="A8" s="54"/>
      <c r="B8" s="56" t="s">
        <v>7</v>
      </c>
      <c r="C8" s="116">
        <f>SUM(C9:C58)</f>
        <v>142732.20499999999</v>
      </c>
      <c r="D8" s="40">
        <f>+D9+D48+D55</f>
        <v>142732.20500000002</v>
      </c>
      <c r="E8" s="18"/>
    </row>
    <row r="9" spans="1:8" x14ac:dyDescent="0.2">
      <c r="A9" s="54">
        <v>5</v>
      </c>
      <c r="B9" s="56" t="s">
        <v>8</v>
      </c>
      <c r="C9" s="116"/>
      <c r="D9" s="40">
        <f>+D10+D34</f>
        <v>49076.205000000002</v>
      </c>
      <c r="G9" s="86"/>
      <c r="H9" s="467"/>
    </row>
    <row r="10" spans="1:8" x14ac:dyDescent="0.2">
      <c r="A10" s="42">
        <v>5.0999999999999996</v>
      </c>
      <c r="B10" s="43" t="s">
        <v>9</v>
      </c>
      <c r="C10" s="61"/>
      <c r="D10" s="40">
        <f>D11+D15+D29+D32</f>
        <v>40138.205000000002</v>
      </c>
    </row>
    <row r="11" spans="1:8" x14ac:dyDescent="0.2">
      <c r="A11" s="42" t="s">
        <v>10</v>
      </c>
      <c r="B11" s="43" t="s">
        <v>11</v>
      </c>
      <c r="C11" s="116"/>
      <c r="D11" s="40">
        <f>SUM(C12:C14)</f>
        <v>32069.715</v>
      </c>
      <c r="H11" s="467"/>
    </row>
    <row r="12" spans="1:8" x14ac:dyDescent="0.2">
      <c r="A12" s="45" t="s">
        <v>251</v>
      </c>
      <c r="B12" s="46" t="s">
        <v>833</v>
      </c>
      <c r="C12" s="61">
        <v>4997.7150000000001</v>
      </c>
      <c r="D12" s="41"/>
      <c r="G12" s="467"/>
    </row>
    <row r="13" spans="1:8" ht="12.75" customHeight="1" x14ac:dyDescent="0.2">
      <c r="A13" s="45" t="s">
        <v>183</v>
      </c>
      <c r="B13" s="46" t="s">
        <v>832</v>
      </c>
      <c r="C13" s="48">
        <v>27072</v>
      </c>
      <c r="D13" s="44"/>
      <c r="E13" s="467"/>
      <c r="G13" s="474"/>
      <c r="H13" s="474"/>
    </row>
    <row r="14" spans="1:8" ht="12.75" customHeight="1" x14ac:dyDescent="0.2">
      <c r="A14" s="45" t="s">
        <v>760</v>
      </c>
      <c r="B14" s="46" t="s">
        <v>831</v>
      </c>
      <c r="C14" s="48"/>
      <c r="D14" s="47"/>
      <c r="G14" s="474"/>
      <c r="H14" s="22"/>
    </row>
    <row r="15" spans="1:8" ht="12.75" customHeight="1" x14ac:dyDescent="0.2">
      <c r="A15" s="42" t="s">
        <v>252</v>
      </c>
      <c r="B15" s="43" t="s">
        <v>253</v>
      </c>
      <c r="C15" s="48"/>
      <c r="D15" s="44">
        <f>SUM(C16:C17)</f>
        <v>2658.6</v>
      </c>
      <c r="G15" s="22"/>
      <c r="H15" s="474"/>
    </row>
    <row r="16" spans="1:8" ht="12.75" customHeight="1" x14ac:dyDescent="0.2">
      <c r="A16" s="45" t="s">
        <v>254</v>
      </c>
      <c r="B16" s="46" t="s">
        <v>255</v>
      </c>
      <c r="C16" s="61">
        <f>2256</f>
        <v>2256</v>
      </c>
      <c r="D16" s="40"/>
      <c r="G16" s="86"/>
      <c r="H16" s="467"/>
    </row>
    <row r="17" spans="1:8" ht="12.75" customHeight="1" x14ac:dyDescent="0.2">
      <c r="A17" s="45" t="s">
        <v>256</v>
      </c>
      <c r="B17" s="46" t="s">
        <v>257</v>
      </c>
      <c r="C17" s="61">
        <f>402.6</f>
        <v>402.6</v>
      </c>
      <c r="D17" s="58"/>
      <c r="H17" s="467"/>
    </row>
    <row r="18" spans="1:8" ht="12.75" customHeight="1" x14ac:dyDescent="0.2">
      <c r="A18" s="54" t="s">
        <v>349</v>
      </c>
      <c r="B18" s="56" t="s">
        <v>350</v>
      </c>
      <c r="C18" s="48"/>
      <c r="D18" s="44"/>
      <c r="G18" s="467"/>
    </row>
    <row r="19" spans="1:8" ht="12.75" customHeight="1" x14ac:dyDescent="0.2">
      <c r="A19" s="57" t="s">
        <v>508</v>
      </c>
      <c r="B19" s="58" t="s">
        <v>509</v>
      </c>
      <c r="C19" s="48"/>
      <c r="D19" s="49"/>
    </row>
    <row r="20" spans="1:8" ht="12.75" customHeight="1" x14ac:dyDescent="0.2">
      <c r="A20" s="57" t="s">
        <v>351</v>
      </c>
      <c r="B20" s="58" t="s">
        <v>830</v>
      </c>
      <c r="C20" s="48"/>
      <c r="D20" s="49"/>
    </row>
    <row r="21" spans="1:8" ht="12.75" customHeight="1" x14ac:dyDescent="0.2">
      <c r="A21" s="42" t="s">
        <v>184</v>
      </c>
      <c r="B21" s="59" t="s">
        <v>185</v>
      </c>
      <c r="C21" s="48"/>
      <c r="D21" s="49"/>
    </row>
    <row r="22" spans="1:8" ht="12.75" customHeight="1" x14ac:dyDescent="0.2">
      <c r="A22" s="45" t="s">
        <v>277</v>
      </c>
      <c r="B22" s="60" t="s">
        <v>719</v>
      </c>
      <c r="C22" s="48"/>
      <c r="D22" s="49"/>
    </row>
    <row r="23" spans="1:8" ht="12.75" customHeight="1" x14ac:dyDescent="0.2">
      <c r="A23" s="45" t="s">
        <v>479</v>
      </c>
      <c r="B23" s="46" t="s">
        <v>480</v>
      </c>
      <c r="C23" s="48"/>
      <c r="D23" s="49"/>
    </row>
    <row r="24" spans="1:8" ht="12.75" customHeight="1" x14ac:dyDescent="0.2">
      <c r="A24" s="42" t="s">
        <v>187</v>
      </c>
      <c r="B24" s="43" t="s">
        <v>186</v>
      </c>
      <c r="C24" s="48"/>
      <c r="D24" s="49"/>
    </row>
    <row r="25" spans="1:8" ht="12.75" customHeight="1" x14ac:dyDescent="0.2">
      <c r="A25" s="42" t="s">
        <v>766</v>
      </c>
      <c r="B25" s="43" t="s">
        <v>829</v>
      </c>
      <c r="C25" s="48"/>
      <c r="D25" s="49"/>
    </row>
    <row r="26" spans="1:8" ht="12.75" customHeight="1" x14ac:dyDescent="0.2">
      <c r="A26" s="45" t="s">
        <v>258</v>
      </c>
      <c r="B26" s="46" t="s">
        <v>259</v>
      </c>
      <c r="C26" s="48"/>
      <c r="D26" s="49"/>
    </row>
    <row r="27" spans="1:8" ht="12.75" customHeight="1" x14ac:dyDescent="0.2">
      <c r="A27" s="45" t="s">
        <v>769</v>
      </c>
      <c r="B27" s="46" t="s">
        <v>676</v>
      </c>
      <c r="C27" s="48"/>
      <c r="D27" s="49"/>
    </row>
    <row r="28" spans="1:8" ht="12.75" customHeight="1" x14ac:dyDescent="0.2">
      <c r="A28" s="45" t="s">
        <v>542</v>
      </c>
      <c r="B28" s="46" t="s">
        <v>543</v>
      </c>
      <c r="C28" s="48"/>
      <c r="D28" s="49"/>
    </row>
    <row r="29" spans="1:8" ht="12.75" customHeight="1" x14ac:dyDescent="0.2">
      <c r="A29" s="42" t="s">
        <v>12</v>
      </c>
      <c r="B29" s="43" t="s">
        <v>13</v>
      </c>
      <c r="C29" s="48"/>
      <c r="D29" s="216">
        <f>SUM(C30:C31)</f>
        <v>5409.8899999999994</v>
      </c>
    </row>
    <row r="30" spans="1:8" ht="12.75" customHeight="1" x14ac:dyDescent="0.2">
      <c r="A30" s="45" t="s">
        <v>260</v>
      </c>
      <c r="B30" s="46" t="s">
        <v>261</v>
      </c>
      <c r="C30" s="48">
        <f>3153.89</f>
        <v>3153.89</v>
      </c>
      <c r="D30" s="49"/>
    </row>
    <row r="31" spans="1:8" ht="12.75" customHeight="1" x14ac:dyDescent="0.2">
      <c r="A31" s="45" t="s">
        <v>510</v>
      </c>
      <c r="B31" s="46" t="s">
        <v>700</v>
      </c>
      <c r="C31" s="48">
        <f>2256</f>
        <v>2256</v>
      </c>
      <c r="D31" s="49"/>
    </row>
    <row r="32" spans="1:8" ht="12.75" customHeight="1" x14ac:dyDescent="0.2">
      <c r="A32" s="42" t="s">
        <v>302</v>
      </c>
      <c r="B32" s="43" t="s">
        <v>303</v>
      </c>
      <c r="C32" s="48"/>
      <c r="D32" s="216">
        <f>SUM(C33)</f>
        <v>0</v>
      </c>
    </row>
    <row r="33" spans="1:4" ht="12.75" customHeight="1" x14ac:dyDescent="0.2">
      <c r="A33" s="45" t="s">
        <v>768</v>
      </c>
      <c r="B33" s="46" t="s">
        <v>776</v>
      </c>
      <c r="C33" s="48"/>
      <c r="D33" s="49"/>
    </row>
    <row r="34" spans="1:4" ht="12.75" customHeight="1" x14ac:dyDescent="0.2">
      <c r="A34" s="54">
        <v>5.3</v>
      </c>
      <c r="B34" s="56" t="s">
        <v>14</v>
      </c>
      <c r="C34" s="61"/>
      <c r="D34" s="40">
        <f>+D35+D38+D43+D41</f>
        <v>8938</v>
      </c>
    </row>
    <row r="35" spans="1:4" ht="12.75" customHeight="1" x14ac:dyDescent="0.2">
      <c r="A35" s="54" t="s">
        <v>23</v>
      </c>
      <c r="B35" s="56" t="s">
        <v>583</v>
      </c>
      <c r="C35" s="61"/>
      <c r="D35" s="40">
        <f>SUM(C36:C37)</f>
        <v>3000</v>
      </c>
    </row>
    <row r="36" spans="1:4" ht="12.75" customHeight="1" x14ac:dyDescent="0.2">
      <c r="A36" s="57" t="s">
        <v>544</v>
      </c>
      <c r="B36" s="60" t="s">
        <v>545</v>
      </c>
      <c r="C36" s="61">
        <v>1000</v>
      </c>
      <c r="D36" s="40"/>
    </row>
    <row r="37" spans="1:4" ht="12.75" customHeight="1" x14ac:dyDescent="0.2">
      <c r="A37" s="57" t="s">
        <v>29</v>
      </c>
      <c r="B37" s="60" t="s">
        <v>489</v>
      </c>
      <c r="C37" s="61">
        <v>2000</v>
      </c>
      <c r="D37" s="40"/>
    </row>
    <row r="38" spans="1:4" ht="12.75" customHeight="1" x14ac:dyDescent="0.2">
      <c r="A38" s="54" t="s">
        <v>33</v>
      </c>
      <c r="B38" s="56" t="s">
        <v>34</v>
      </c>
      <c r="C38" s="116"/>
      <c r="D38" s="40">
        <f>+C39+C40</f>
        <v>1000</v>
      </c>
    </row>
    <row r="39" spans="1:4" ht="12.75" customHeight="1" x14ac:dyDescent="0.2">
      <c r="A39" s="57" t="s">
        <v>35</v>
      </c>
      <c r="B39" s="58" t="s">
        <v>36</v>
      </c>
      <c r="C39" s="61">
        <v>500</v>
      </c>
      <c r="D39" s="41"/>
    </row>
    <row r="40" spans="1:4" ht="12.75" customHeight="1" x14ac:dyDescent="0.2">
      <c r="A40" s="57" t="s">
        <v>37</v>
      </c>
      <c r="B40" s="58" t="s">
        <v>38</v>
      </c>
      <c r="C40" s="61">
        <v>500</v>
      </c>
      <c r="D40" s="41"/>
    </row>
    <row r="41" spans="1:4" ht="12.75" customHeight="1" x14ac:dyDescent="0.2">
      <c r="A41" s="42" t="s">
        <v>39</v>
      </c>
      <c r="B41" s="43" t="s">
        <v>40</v>
      </c>
      <c r="C41" s="61"/>
      <c r="D41" s="41">
        <f>SUM(C42)</f>
        <v>1710</v>
      </c>
    </row>
    <row r="42" spans="1:4" ht="12.75" customHeight="1" x14ac:dyDescent="0.2">
      <c r="A42" s="45" t="s">
        <v>43</v>
      </c>
      <c r="B42" s="46" t="s">
        <v>1</v>
      </c>
      <c r="C42" s="61">
        <v>1710</v>
      </c>
      <c r="D42" s="41"/>
    </row>
    <row r="43" spans="1:4" ht="12.75" customHeight="1" x14ac:dyDescent="0.2">
      <c r="A43" s="54" t="s">
        <v>55</v>
      </c>
      <c r="B43" s="56" t="s">
        <v>167</v>
      </c>
      <c r="C43" s="61"/>
      <c r="D43" s="40">
        <f>SUM(C44:C47)</f>
        <v>3228</v>
      </c>
    </row>
    <row r="44" spans="1:4" ht="12.75" customHeight="1" x14ac:dyDescent="0.2">
      <c r="A44" s="57" t="s">
        <v>59</v>
      </c>
      <c r="B44" s="58" t="s">
        <v>837</v>
      </c>
      <c r="C44" s="61">
        <v>228</v>
      </c>
      <c r="D44" s="154"/>
    </row>
    <row r="45" spans="1:4" ht="12.75" customHeight="1" x14ac:dyDescent="0.2">
      <c r="A45" s="57" t="s">
        <v>63</v>
      </c>
      <c r="B45" s="58" t="s">
        <v>179</v>
      </c>
      <c r="C45" s="61">
        <v>500</v>
      </c>
      <c r="D45" s="154"/>
    </row>
    <row r="46" spans="1:4" ht="12.75" customHeight="1" x14ac:dyDescent="0.2">
      <c r="A46" s="57" t="s">
        <v>65</v>
      </c>
      <c r="B46" s="58" t="s">
        <v>636</v>
      </c>
      <c r="C46" s="61">
        <v>500</v>
      </c>
      <c r="D46" s="154"/>
    </row>
    <row r="47" spans="1:4" ht="12.75" customHeight="1" x14ac:dyDescent="0.2">
      <c r="A47" s="57" t="s">
        <v>730</v>
      </c>
      <c r="B47" s="58" t="s">
        <v>731</v>
      </c>
      <c r="C47" s="61">
        <v>2000</v>
      </c>
      <c r="D47" s="154"/>
    </row>
    <row r="48" spans="1:4" ht="12.75" customHeight="1" x14ac:dyDescent="0.2">
      <c r="A48" s="54">
        <v>7</v>
      </c>
      <c r="B48" s="56" t="s">
        <v>86</v>
      </c>
      <c r="C48" s="116"/>
      <c r="D48" s="40">
        <f>+D49</f>
        <v>93656</v>
      </c>
    </row>
    <row r="49" spans="1:4" ht="12.75" customHeight="1" x14ac:dyDescent="0.2">
      <c r="A49" s="54">
        <v>7.3</v>
      </c>
      <c r="B49" s="56" t="s">
        <v>727</v>
      </c>
      <c r="C49" s="116"/>
      <c r="D49" s="40">
        <f>SUM(C49:C54)</f>
        <v>93656</v>
      </c>
    </row>
    <row r="50" spans="1:4" ht="23.25" customHeight="1" x14ac:dyDescent="0.2">
      <c r="A50" s="54" t="s">
        <v>141</v>
      </c>
      <c r="B50" s="414" t="s">
        <v>885</v>
      </c>
      <c r="C50" s="116"/>
      <c r="D50" s="40"/>
    </row>
    <row r="51" spans="1:4" ht="12.75" customHeight="1" x14ac:dyDescent="0.2">
      <c r="A51" s="54" t="s">
        <v>143</v>
      </c>
      <c r="B51" s="59" t="s">
        <v>593</v>
      </c>
      <c r="C51" s="116"/>
      <c r="D51" s="40"/>
    </row>
    <row r="52" spans="1:4" ht="12.75" customHeight="1" x14ac:dyDescent="0.2">
      <c r="A52" s="57" t="s">
        <v>883</v>
      </c>
      <c r="B52" s="60" t="s">
        <v>884</v>
      </c>
      <c r="C52" s="61">
        <v>2000</v>
      </c>
      <c r="D52" s="40"/>
    </row>
    <row r="53" spans="1:4" ht="12.75" customHeight="1" x14ac:dyDescent="0.2">
      <c r="A53" s="50" t="s">
        <v>630</v>
      </c>
      <c r="B53" s="87" t="s">
        <v>52</v>
      </c>
      <c r="C53" s="109"/>
      <c r="D53" s="53">
        <f>SUM(C54)</f>
        <v>91656</v>
      </c>
    </row>
    <row r="54" spans="1:4" ht="23.25" customHeight="1" x14ac:dyDescent="0.2">
      <c r="A54" s="52" t="s">
        <v>728</v>
      </c>
      <c r="B54" s="62" t="s">
        <v>729</v>
      </c>
      <c r="C54" s="109">
        <f>43776+47880</f>
        <v>91656</v>
      </c>
      <c r="D54" s="53"/>
    </row>
    <row r="55" spans="1:4" ht="12.75" customHeight="1" x14ac:dyDescent="0.2">
      <c r="A55" s="54">
        <v>8</v>
      </c>
      <c r="B55" s="56" t="s">
        <v>74</v>
      </c>
      <c r="C55" s="116"/>
      <c r="D55" s="40">
        <f>+D56</f>
        <v>0</v>
      </c>
    </row>
    <row r="56" spans="1:4" ht="12.75" customHeight="1" x14ac:dyDescent="0.2">
      <c r="A56" s="54">
        <v>8.4</v>
      </c>
      <c r="B56" s="56" t="s">
        <v>75</v>
      </c>
      <c r="C56" s="116"/>
      <c r="D56" s="40">
        <f>+D57</f>
        <v>0</v>
      </c>
    </row>
    <row r="57" spans="1:4" ht="12.75" customHeight="1" x14ac:dyDescent="0.2">
      <c r="A57" s="54" t="s">
        <v>76</v>
      </c>
      <c r="B57" s="59" t="s">
        <v>77</v>
      </c>
      <c r="C57" s="116"/>
      <c r="D57" s="40">
        <f>+C58</f>
        <v>0</v>
      </c>
    </row>
    <row r="58" spans="1:4" ht="12.75" customHeight="1" x14ac:dyDescent="0.2">
      <c r="A58" s="57" t="s">
        <v>276</v>
      </c>
      <c r="B58" s="58" t="s">
        <v>189</v>
      </c>
      <c r="C58" s="61"/>
      <c r="D58" s="41"/>
    </row>
    <row r="59" spans="1:4" x14ac:dyDescent="0.2">
      <c r="A59" s="22"/>
      <c r="B59" s="22"/>
      <c r="C59" s="117"/>
      <c r="D59" s="4"/>
    </row>
    <row r="60" spans="1:4" x14ac:dyDescent="0.2">
      <c r="C60" s="4"/>
    </row>
    <row r="61" spans="1:4" x14ac:dyDescent="0.2">
      <c r="C61" s="318">
        <f>SUM(C9:C58)</f>
        <v>142732.20499999999</v>
      </c>
    </row>
  </sheetData>
  <mergeCells count="2">
    <mergeCell ref="A1:D1"/>
    <mergeCell ref="A2:D2"/>
  </mergeCells>
  <pageMargins left="0.70866141732283472" right="0.70866141732283472" top="0.74803149606299213" bottom="0.74803149606299213" header="0.31496062992125984" footer="0.31496062992125984"/>
  <pageSetup paperSize="9" scale="90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G789"/>
  <sheetViews>
    <sheetView showGridLines="0" workbookViewId="0">
      <selection activeCell="H13" sqref="H13"/>
    </sheetView>
  </sheetViews>
  <sheetFormatPr baseColWidth="10" defaultRowHeight="12.75" x14ac:dyDescent="0.2"/>
  <cols>
    <col min="1" max="1" width="10.42578125" style="85" customWidth="1"/>
    <col min="2" max="2" width="44.28515625" style="25" customWidth="1"/>
    <col min="3" max="3" width="11.85546875" style="35" customWidth="1"/>
    <col min="4" max="4" width="11.7109375" style="4" customWidth="1"/>
    <col min="5" max="16384" width="11.42578125" style="4"/>
  </cols>
  <sheetData>
    <row r="1" spans="1:6" ht="18.75" customHeight="1" x14ac:dyDescent="0.2">
      <c r="A1" s="538" t="s">
        <v>406</v>
      </c>
      <c r="B1" s="538"/>
      <c r="C1" s="538"/>
      <c r="D1" s="538"/>
    </row>
    <row r="2" spans="1:6" ht="15" customHeight="1" x14ac:dyDescent="0.2">
      <c r="A2" s="539" t="s">
        <v>931</v>
      </c>
      <c r="B2" s="539"/>
      <c r="C2" s="539"/>
      <c r="D2" s="539"/>
    </row>
    <row r="3" spans="1:6" ht="15" customHeight="1" x14ac:dyDescent="0.3">
      <c r="A3" s="333">
        <v>3</v>
      </c>
      <c r="B3" s="354" t="s">
        <v>421</v>
      </c>
      <c r="C3" s="359"/>
      <c r="D3" s="359"/>
    </row>
    <row r="4" spans="1:6" ht="15" customHeight="1" x14ac:dyDescent="0.3">
      <c r="A4" s="336">
        <v>3.1</v>
      </c>
      <c r="B4" s="487" t="s">
        <v>422</v>
      </c>
      <c r="C4" s="359"/>
      <c r="D4" s="359"/>
    </row>
    <row r="5" spans="1:6" ht="17.25" customHeight="1" x14ac:dyDescent="0.3">
      <c r="A5" s="336" t="s">
        <v>420</v>
      </c>
      <c r="B5" s="487" t="s">
        <v>422</v>
      </c>
      <c r="C5" s="361"/>
      <c r="D5" s="359"/>
    </row>
    <row r="6" spans="1:6" s="17" customFormat="1" x14ac:dyDescent="0.2">
      <c r="A6" s="19" t="s">
        <v>5</v>
      </c>
      <c r="B6" s="20" t="s">
        <v>6</v>
      </c>
      <c r="C6" s="126" t="s">
        <v>400</v>
      </c>
      <c r="D6" s="33" t="s">
        <v>7</v>
      </c>
      <c r="E6" s="472"/>
      <c r="F6" s="472"/>
    </row>
    <row r="7" spans="1:6" s="17" customFormat="1" x14ac:dyDescent="0.2">
      <c r="A7" s="19"/>
      <c r="B7" s="20"/>
      <c r="C7" s="126"/>
      <c r="D7" s="33"/>
    </row>
    <row r="8" spans="1:6" x14ac:dyDescent="0.2">
      <c r="A8" s="54"/>
      <c r="B8" s="59" t="s">
        <v>7</v>
      </c>
      <c r="C8" s="40">
        <f>SUM(C12:C60)</f>
        <v>1092921.835</v>
      </c>
      <c r="D8" s="40">
        <f>D9+D55</f>
        <v>1092921.835</v>
      </c>
      <c r="E8" s="168"/>
      <c r="F8" s="168"/>
    </row>
    <row r="9" spans="1:6" x14ac:dyDescent="0.2">
      <c r="A9" s="54">
        <v>7</v>
      </c>
      <c r="B9" s="59" t="s">
        <v>86</v>
      </c>
      <c r="C9" s="40"/>
      <c r="D9" s="40">
        <f>D10+D34+D32</f>
        <v>1019521.835</v>
      </c>
    </row>
    <row r="10" spans="1:6" x14ac:dyDescent="0.2">
      <c r="A10" s="42">
        <v>7.1</v>
      </c>
      <c r="B10" s="43" t="s">
        <v>9</v>
      </c>
      <c r="C10" s="40"/>
      <c r="D10" s="40">
        <f>D11+D15+D24+D29</f>
        <v>723983.75</v>
      </c>
    </row>
    <row r="11" spans="1:6" x14ac:dyDescent="0.2">
      <c r="A11" s="42" t="s">
        <v>151</v>
      </c>
      <c r="B11" s="43" t="s">
        <v>11</v>
      </c>
      <c r="C11" s="40"/>
      <c r="D11" s="40">
        <f>SUM(C12:C14)</f>
        <v>571412.04</v>
      </c>
    </row>
    <row r="12" spans="1:6" x14ac:dyDescent="0.2">
      <c r="A12" s="45" t="s">
        <v>262</v>
      </c>
      <c r="B12" s="46" t="s">
        <v>833</v>
      </c>
      <c r="C12" s="41">
        <v>75260.039999999994</v>
      </c>
      <c r="D12" s="41"/>
    </row>
    <row r="13" spans="1:6" x14ac:dyDescent="0.2">
      <c r="A13" s="45" t="s">
        <v>271</v>
      </c>
      <c r="B13" s="46" t="s">
        <v>832</v>
      </c>
      <c r="C13" s="47">
        <v>496152</v>
      </c>
      <c r="D13" s="44"/>
      <c r="E13" s="467"/>
    </row>
    <row r="14" spans="1:6" x14ac:dyDescent="0.2">
      <c r="A14" s="45" t="s">
        <v>770</v>
      </c>
      <c r="B14" s="46" t="s">
        <v>831</v>
      </c>
      <c r="C14" s="47"/>
      <c r="D14" s="47"/>
    </row>
    <row r="15" spans="1:6" x14ac:dyDescent="0.2">
      <c r="A15" s="42" t="s">
        <v>265</v>
      </c>
      <c r="B15" s="43" t="s">
        <v>253</v>
      </c>
      <c r="C15" s="47"/>
      <c r="D15" s="44">
        <f>SUM(C16:C17)</f>
        <v>53424</v>
      </c>
    </row>
    <row r="16" spans="1:6" x14ac:dyDescent="0.2">
      <c r="A16" s="45" t="s">
        <v>263</v>
      </c>
      <c r="B16" s="46" t="s">
        <v>255</v>
      </c>
      <c r="C16" s="41">
        <v>41346</v>
      </c>
      <c r="D16" s="40"/>
    </row>
    <row r="17" spans="1:4" x14ac:dyDescent="0.2">
      <c r="A17" s="45" t="s">
        <v>264</v>
      </c>
      <c r="B17" s="46" t="s">
        <v>257</v>
      </c>
      <c r="C17" s="61">
        <v>12078</v>
      </c>
      <c r="D17" s="58"/>
    </row>
    <row r="18" spans="1:4" x14ac:dyDescent="0.2">
      <c r="A18" s="54" t="s">
        <v>464</v>
      </c>
      <c r="B18" s="56" t="s">
        <v>350</v>
      </c>
      <c r="C18" s="47"/>
      <c r="D18" s="44"/>
    </row>
    <row r="19" spans="1:4" x14ac:dyDescent="0.2">
      <c r="A19" s="57" t="s">
        <v>771</v>
      </c>
      <c r="B19" s="58" t="s">
        <v>509</v>
      </c>
      <c r="C19" s="48"/>
      <c r="D19" s="49"/>
    </row>
    <row r="20" spans="1:4" x14ac:dyDescent="0.2">
      <c r="A20" s="57" t="s">
        <v>465</v>
      </c>
      <c r="B20" s="58" t="s">
        <v>765</v>
      </c>
      <c r="C20" s="48"/>
      <c r="D20" s="49"/>
    </row>
    <row r="21" spans="1:4" x14ac:dyDescent="0.2">
      <c r="A21" s="42" t="s">
        <v>188</v>
      </c>
      <c r="B21" s="59" t="s">
        <v>185</v>
      </c>
      <c r="C21" s="48"/>
      <c r="D21" s="49"/>
    </row>
    <row r="22" spans="1:4" x14ac:dyDescent="0.2">
      <c r="A22" s="45" t="s">
        <v>278</v>
      </c>
      <c r="B22" s="60" t="s">
        <v>719</v>
      </c>
      <c r="C22" s="48"/>
      <c r="D22" s="49"/>
    </row>
    <row r="23" spans="1:4" x14ac:dyDescent="0.2">
      <c r="A23" s="45" t="s">
        <v>481</v>
      </c>
      <c r="B23" s="46" t="s">
        <v>480</v>
      </c>
      <c r="C23" s="48"/>
      <c r="D23" s="49"/>
    </row>
    <row r="24" spans="1:4" x14ac:dyDescent="0.2">
      <c r="A24" s="42" t="s">
        <v>268</v>
      </c>
      <c r="B24" s="43" t="s">
        <v>186</v>
      </c>
      <c r="C24" s="48"/>
      <c r="D24" s="216">
        <f>SUM(C26:C28)</f>
        <v>0</v>
      </c>
    </row>
    <row r="25" spans="1:4" x14ac:dyDescent="0.2">
      <c r="A25" s="42" t="s">
        <v>772</v>
      </c>
      <c r="B25" s="43" t="s">
        <v>829</v>
      </c>
      <c r="C25" s="48"/>
      <c r="D25" s="49"/>
    </row>
    <row r="26" spans="1:4" x14ac:dyDescent="0.2">
      <c r="A26" s="45" t="s">
        <v>269</v>
      </c>
      <c r="B26" s="46" t="s">
        <v>259</v>
      </c>
      <c r="C26" s="48"/>
      <c r="D26" s="49"/>
    </row>
    <row r="27" spans="1:4" x14ac:dyDescent="0.2">
      <c r="A27" s="45" t="s">
        <v>675</v>
      </c>
      <c r="B27" s="46" t="s">
        <v>676</v>
      </c>
      <c r="C27" s="48"/>
      <c r="D27" s="49"/>
    </row>
    <row r="28" spans="1:4" x14ac:dyDescent="0.2">
      <c r="A28" s="45" t="s">
        <v>707</v>
      </c>
      <c r="B28" s="46" t="s">
        <v>543</v>
      </c>
      <c r="C28" s="48"/>
      <c r="D28" s="49"/>
    </row>
    <row r="29" spans="1:4" x14ac:dyDescent="0.2">
      <c r="A29" s="42" t="s">
        <v>266</v>
      </c>
      <c r="B29" s="43" t="s">
        <v>13</v>
      </c>
      <c r="C29" s="48"/>
      <c r="D29" s="216">
        <f>SUM(C30:C31)</f>
        <v>99147.709999999992</v>
      </c>
    </row>
    <row r="30" spans="1:4" x14ac:dyDescent="0.2">
      <c r="A30" s="45" t="s">
        <v>267</v>
      </c>
      <c r="B30" s="46" t="s">
        <v>261</v>
      </c>
      <c r="C30" s="48">
        <v>57801.71</v>
      </c>
      <c r="D30" s="49"/>
    </row>
    <row r="31" spans="1:4" x14ac:dyDescent="0.2">
      <c r="A31" s="45" t="s">
        <v>705</v>
      </c>
      <c r="B31" s="46" t="s">
        <v>700</v>
      </c>
      <c r="C31" s="48">
        <v>41346</v>
      </c>
      <c r="D31" s="49"/>
    </row>
    <row r="32" spans="1:4" x14ac:dyDescent="0.2">
      <c r="A32" s="42" t="s">
        <v>619</v>
      </c>
      <c r="B32" s="43" t="s">
        <v>303</v>
      </c>
      <c r="C32" s="48"/>
      <c r="D32" s="216">
        <f>SUM(C33)</f>
        <v>0</v>
      </c>
    </row>
    <row r="33" spans="1:4" x14ac:dyDescent="0.2">
      <c r="A33" s="45" t="s">
        <v>620</v>
      </c>
      <c r="B33" s="46" t="s">
        <v>776</v>
      </c>
      <c r="C33" s="48"/>
      <c r="D33" s="49"/>
    </row>
    <row r="34" spans="1:4" x14ac:dyDescent="0.2">
      <c r="A34" s="54">
        <v>7.3</v>
      </c>
      <c r="B34" s="59" t="s">
        <v>609</v>
      </c>
      <c r="C34" s="40"/>
      <c r="D34" s="40">
        <f>+D35+D39+D42+D45+D48</f>
        <v>295538.08499999996</v>
      </c>
    </row>
    <row r="35" spans="1:4" x14ac:dyDescent="0.2">
      <c r="A35" s="54" t="s">
        <v>152</v>
      </c>
      <c r="B35" s="59" t="s">
        <v>4</v>
      </c>
      <c r="C35" s="40" t="s">
        <v>147</v>
      </c>
      <c r="D35" s="40">
        <f>SUM(C37:C38)</f>
        <v>4000</v>
      </c>
    </row>
    <row r="36" spans="1:4" ht="45" x14ac:dyDescent="0.2">
      <c r="A36" s="54" t="s">
        <v>327</v>
      </c>
      <c r="B36" s="59" t="s">
        <v>846</v>
      </c>
      <c r="C36" s="40"/>
      <c r="D36" s="40">
        <f>SUM(C37:C38)</f>
        <v>4000</v>
      </c>
    </row>
    <row r="37" spans="1:4" s="81" customFormat="1" ht="22.5" x14ac:dyDescent="0.2">
      <c r="A37" s="211" t="s">
        <v>237</v>
      </c>
      <c r="B37" s="62" t="s">
        <v>585</v>
      </c>
      <c r="C37" s="65">
        <v>2000</v>
      </c>
      <c r="D37" s="65"/>
    </row>
    <row r="38" spans="1:4" s="81" customFormat="1" x14ac:dyDescent="0.2">
      <c r="A38" s="211" t="s">
        <v>321</v>
      </c>
      <c r="B38" s="62" t="s">
        <v>322</v>
      </c>
      <c r="C38" s="65">
        <v>2000</v>
      </c>
      <c r="D38" s="65"/>
    </row>
    <row r="39" spans="1:4" ht="22.5" x14ac:dyDescent="0.2">
      <c r="A39" s="54" t="s">
        <v>153</v>
      </c>
      <c r="B39" s="59" t="s">
        <v>847</v>
      </c>
      <c r="C39" s="40"/>
      <c r="D39" s="40">
        <f>+C40+C41</f>
        <v>2000</v>
      </c>
    </row>
    <row r="40" spans="1:4" x14ac:dyDescent="0.2">
      <c r="A40" s="57" t="s">
        <v>154</v>
      </c>
      <c r="B40" s="60" t="s">
        <v>840</v>
      </c>
      <c r="C40" s="41">
        <v>1000</v>
      </c>
      <c r="D40" s="41"/>
    </row>
    <row r="41" spans="1:4" x14ac:dyDescent="0.2">
      <c r="A41" s="57" t="s">
        <v>155</v>
      </c>
      <c r="B41" s="60" t="s">
        <v>841</v>
      </c>
      <c r="C41" s="41">
        <v>1000</v>
      </c>
      <c r="D41" s="41"/>
    </row>
    <row r="42" spans="1:4" x14ac:dyDescent="0.2">
      <c r="A42" s="54" t="s">
        <v>156</v>
      </c>
      <c r="B42" s="59" t="s">
        <v>40</v>
      </c>
      <c r="C42" s="40"/>
      <c r="D42" s="40">
        <f>SUM(C43:C44)</f>
        <v>1500</v>
      </c>
    </row>
    <row r="43" spans="1:4" x14ac:dyDescent="0.2">
      <c r="A43" s="57" t="s">
        <v>157</v>
      </c>
      <c r="B43" s="60" t="s">
        <v>146</v>
      </c>
      <c r="C43" s="41">
        <v>500</v>
      </c>
      <c r="D43" s="41"/>
    </row>
    <row r="44" spans="1:4" x14ac:dyDescent="0.2">
      <c r="A44" s="57" t="s">
        <v>158</v>
      </c>
      <c r="B44" s="60" t="s">
        <v>44</v>
      </c>
      <c r="C44" s="41">
        <v>1000</v>
      </c>
      <c r="D44" s="41"/>
    </row>
    <row r="45" spans="1:4" x14ac:dyDescent="0.2">
      <c r="A45" s="54" t="s">
        <v>159</v>
      </c>
      <c r="B45" s="59" t="s">
        <v>165</v>
      </c>
      <c r="C45" s="40"/>
      <c r="D45" s="40">
        <f>SUM(C46:C47)</f>
        <v>6840</v>
      </c>
    </row>
    <row r="46" spans="1:4" x14ac:dyDescent="0.2">
      <c r="A46" s="57" t="s">
        <v>160</v>
      </c>
      <c r="B46" s="60" t="s">
        <v>837</v>
      </c>
      <c r="C46" s="41">
        <v>6840</v>
      </c>
      <c r="D46" s="154"/>
    </row>
    <row r="47" spans="1:4" s="28" customFormat="1" ht="22.5" x14ac:dyDescent="0.2">
      <c r="A47" s="52" t="s">
        <v>161</v>
      </c>
      <c r="B47" s="62" t="s">
        <v>68</v>
      </c>
      <c r="C47" s="53"/>
      <c r="D47" s="53"/>
    </row>
    <row r="48" spans="1:4" x14ac:dyDescent="0.2">
      <c r="A48" s="54" t="s">
        <v>141</v>
      </c>
      <c r="B48" s="59" t="s">
        <v>142</v>
      </c>
      <c r="C48" s="40"/>
      <c r="D48" s="40">
        <f>SUM(C50:C54)</f>
        <v>281198.08499999996</v>
      </c>
    </row>
    <row r="49" spans="1:7" x14ac:dyDescent="0.2">
      <c r="A49" s="54" t="s">
        <v>143</v>
      </c>
      <c r="B49" s="59" t="s">
        <v>48</v>
      </c>
      <c r="C49" s="41"/>
      <c r="D49" s="41"/>
    </row>
    <row r="50" spans="1:7" s="28" customFormat="1" ht="45" x14ac:dyDescent="0.2">
      <c r="A50" s="52" t="s">
        <v>144</v>
      </c>
      <c r="B50" s="66" t="s">
        <v>951</v>
      </c>
      <c r="C50" s="53">
        <f>148609.59+42022.9</f>
        <v>190632.49</v>
      </c>
      <c r="D50" s="53"/>
      <c r="E50" s="167"/>
    </row>
    <row r="51" spans="1:7" s="28" customFormat="1" ht="22.5" x14ac:dyDescent="0.2">
      <c r="A51" s="52" t="s">
        <v>182</v>
      </c>
      <c r="B51" s="62" t="s">
        <v>754</v>
      </c>
      <c r="C51" s="53">
        <v>4997.7150000000001</v>
      </c>
      <c r="D51" s="53"/>
      <c r="E51" s="77"/>
    </row>
    <row r="52" spans="1:7" x14ac:dyDescent="0.2">
      <c r="A52" s="52" t="s">
        <v>172</v>
      </c>
      <c r="B52" s="60" t="s">
        <v>346</v>
      </c>
      <c r="C52" s="41">
        <v>85567.88</v>
      </c>
      <c r="D52" s="41"/>
      <c r="E52" s="116"/>
    </row>
    <row r="53" spans="1:7" ht="22.5" x14ac:dyDescent="0.2">
      <c r="A53" s="52" t="s">
        <v>392</v>
      </c>
      <c r="B53" s="60" t="s">
        <v>397</v>
      </c>
      <c r="C53" s="41">
        <f>50000-50000</f>
        <v>0</v>
      </c>
      <c r="D53" s="41"/>
      <c r="F53" s="473"/>
      <c r="G53" s="18"/>
    </row>
    <row r="54" spans="1:7" ht="22.5" x14ac:dyDescent="0.2">
      <c r="A54" s="52" t="s">
        <v>398</v>
      </c>
      <c r="B54" s="60" t="s">
        <v>391</v>
      </c>
      <c r="C54" s="41">
        <f>22000-22000</f>
        <v>0</v>
      </c>
      <c r="D54" s="41"/>
      <c r="G54" s="18"/>
    </row>
    <row r="55" spans="1:7" x14ac:dyDescent="0.2">
      <c r="A55" s="54">
        <v>8</v>
      </c>
      <c r="B55" s="59" t="s">
        <v>74</v>
      </c>
      <c r="C55" s="40" t="s">
        <v>147</v>
      </c>
      <c r="D55" s="40">
        <f>+D56</f>
        <v>73400</v>
      </c>
    </row>
    <row r="56" spans="1:7" x14ac:dyDescent="0.2">
      <c r="A56" s="54">
        <v>8.4</v>
      </c>
      <c r="B56" s="59" t="s">
        <v>75</v>
      </c>
      <c r="C56" s="40"/>
      <c r="D56" s="40">
        <f>+D57</f>
        <v>73400</v>
      </c>
    </row>
    <row r="57" spans="1:7" x14ac:dyDescent="0.2">
      <c r="A57" s="54" t="s">
        <v>76</v>
      </c>
      <c r="B57" s="59" t="s">
        <v>77</v>
      </c>
      <c r="C57" s="40"/>
      <c r="D57" s="40">
        <f>SUM(C58:C59)</f>
        <v>73400</v>
      </c>
    </row>
    <row r="58" spans="1:7" x14ac:dyDescent="0.2">
      <c r="A58" s="57" t="s">
        <v>301</v>
      </c>
      <c r="B58" s="60" t="s">
        <v>146</v>
      </c>
      <c r="C58" s="41"/>
      <c r="D58" s="40"/>
    </row>
    <row r="59" spans="1:7" x14ac:dyDescent="0.2">
      <c r="A59" s="57" t="s">
        <v>276</v>
      </c>
      <c r="B59" s="60" t="s">
        <v>44</v>
      </c>
      <c r="C59" s="41">
        <f>68400+5000</f>
        <v>73400</v>
      </c>
      <c r="D59" s="40"/>
      <c r="E59" s="212"/>
    </row>
    <row r="60" spans="1:7" x14ac:dyDescent="0.2">
      <c r="A60" s="57" t="s">
        <v>79</v>
      </c>
      <c r="B60" s="60" t="s">
        <v>80</v>
      </c>
      <c r="C60" s="41"/>
      <c r="D60" s="41"/>
    </row>
    <row r="61" spans="1:7" x14ac:dyDescent="0.2">
      <c r="A61" s="83"/>
      <c r="B61" s="84"/>
      <c r="C61" s="36"/>
      <c r="D61" s="36"/>
    </row>
    <row r="62" spans="1:7" s="22" customFormat="1" x14ac:dyDescent="0.2">
      <c r="A62" s="89"/>
      <c r="B62" s="105"/>
      <c r="C62" s="13">
        <f>SUM(C9:C60)</f>
        <v>1092921.835</v>
      </c>
      <c r="D62" s="13"/>
    </row>
    <row r="63" spans="1:7" s="22" customFormat="1" x14ac:dyDescent="0.2">
      <c r="A63" s="89"/>
      <c r="B63" s="239"/>
      <c r="C63" s="217"/>
      <c r="D63" s="13"/>
    </row>
    <row r="64" spans="1:7" s="95" customFormat="1" ht="11.25" x14ac:dyDescent="0.2">
      <c r="A64" s="106"/>
      <c r="B64" s="188"/>
      <c r="C64" s="189"/>
      <c r="D64" s="69"/>
    </row>
    <row r="65" spans="1:5" s="95" customFormat="1" ht="11.25" x14ac:dyDescent="0.2">
      <c r="A65" s="106"/>
      <c r="B65" s="412"/>
      <c r="C65" s="189"/>
      <c r="D65" s="69"/>
    </row>
    <row r="66" spans="1:5" s="95" customFormat="1" ht="11.25" x14ac:dyDescent="0.2">
      <c r="A66" s="106"/>
      <c r="B66" s="188"/>
      <c r="C66" s="189"/>
      <c r="D66" s="69"/>
    </row>
    <row r="67" spans="1:5" s="95" customFormat="1" ht="11.25" x14ac:dyDescent="0.2">
      <c r="A67" s="106"/>
      <c r="B67" s="188"/>
      <c r="C67" s="189"/>
      <c r="D67" s="69"/>
    </row>
    <row r="68" spans="1:5" s="95" customFormat="1" ht="11.25" x14ac:dyDescent="0.2">
      <c r="A68" s="106"/>
      <c r="B68" s="188"/>
      <c r="C68" s="189"/>
      <c r="D68" s="69"/>
    </row>
    <row r="69" spans="1:5" s="95" customFormat="1" ht="11.25" x14ac:dyDescent="0.2">
      <c r="A69" s="106"/>
      <c r="B69" s="188"/>
      <c r="C69" s="189"/>
      <c r="D69" s="69"/>
    </row>
    <row r="70" spans="1:5" s="95" customFormat="1" ht="11.25" x14ac:dyDescent="0.2">
      <c r="A70" s="106"/>
      <c r="B70" s="188"/>
      <c r="C70" s="189"/>
      <c r="D70" s="69"/>
    </row>
    <row r="71" spans="1:5" s="95" customFormat="1" ht="11.25" x14ac:dyDescent="0.2">
      <c r="A71" s="106"/>
      <c r="B71" s="239"/>
      <c r="C71" s="217"/>
      <c r="D71" s="69"/>
    </row>
    <row r="72" spans="1:5" s="5" customFormat="1" ht="11.25" x14ac:dyDescent="0.2">
      <c r="A72" s="83"/>
      <c r="B72" s="188"/>
      <c r="C72" s="189"/>
      <c r="D72" s="36"/>
    </row>
    <row r="73" spans="1:5" s="5" customFormat="1" ht="11.25" x14ac:dyDescent="0.2">
      <c r="A73" s="83"/>
      <c r="B73" s="188"/>
      <c r="C73" s="189"/>
      <c r="D73" s="36"/>
    </row>
    <row r="74" spans="1:5" s="5" customFormat="1" ht="11.25" x14ac:dyDescent="0.2">
      <c r="A74" s="83"/>
      <c r="B74" s="188"/>
      <c r="C74" s="189"/>
      <c r="D74" s="36"/>
    </row>
    <row r="75" spans="1:5" s="5" customFormat="1" ht="11.25" x14ac:dyDescent="0.2">
      <c r="A75" s="83"/>
      <c r="B75" s="188"/>
      <c r="C75" s="189"/>
      <c r="D75" s="36"/>
    </row>
    <row r="76" spans="1:5" s="5" customFormat="1" ht="11.25" x14ac:dyDescent="0.2">
      <c r="A76" s="83"/>
      <c r="B76" s="188"/>
      <c r="C76" s="189"/>
      <c r="D76" s="36"/>
      <c r="E76" s="36"/>
    </row>
    <row r="77" spans="1:5" s="5" customFormat="1" ht="11.25" x14ac:dyDescent="0.2">
      <c r="A77" s="83"/>
      <c r="B77" s="188"/>
      <c r="C77" s="189"/>
      <c r="D77" s="36"/>
      <c r="E77" s="36"/>
    </row>
    <row r="78" spans="1:5" s="5" customFormat="1" ht="11.25" x14ac:dyDescent="0.2">
      <c r="A78" s="83"/>
      <c r="B78" s="188"/>
      <c r="C78" s="189"/>
      <c r="D78" s="36"/>
    </row>
    <row r="79" spans="1:5" s="5" customFormat="1" ht="11.25" x14ac:dyDescent="0.2">
      <c r="A79" s="83"/>
      <c r="B79" s="188"/>
      <c r="C79" s="189"/>
      <c r="D79" s="36"/>
    </row>
    <row r="80" spans="1:5" s="5" customFormat="1" ht="11.25" x14ac:dyDescent="0.2">
      <c r="A80" s="83"/>
      <c r="B80" s="188"/>
      <c r="C80" s="189"/>
      <c r="D80" s="36"/>
    </row>
    <row r="81" spans="1:4" s="5" customFormat="1" ht="11.25" x14ac:dyDescent="0.2">
      <c r="A81" s="83"/>
      <c r="B81" s="477"/>
      <c r="C81" s="217"/>
      <c r="D81" s="36"/>
    </row>
    <row r="82" spans="1:4" s="5" customFormat="1" ht="11.25" x14ac:dyDescent="0.2">
      <c r="A82" s="83"/>
      <c r="B82" s="96"/>
      <c r="C82" s="69"/>
      <c r="D82" s="36"/>
    </row>
    <row r="83" spans="1:4" s="5" customFormat="1" ht="11.25" x14ac:dyDescent="0.2">
      <c r="A83" s="83"/>
      <c r="B83" s="105"/>
      <c r="C83" s="124"/>
      <c r="D83" s="36"/>
    </row>
    <row r="84" spans="1:4" s="5" customFormat="1" ht="11.25" x14ac:dyDescent="0.2">
      <c r="A84" s="83"/>
      <c r="B84" s="84"/>
      <c r="C84" s="36"/>
      <c r="D84" s="36"/>
    </row>
    <row r="85" spans="1:4" s="5" customFormat="1" ht="11.25" x14ac:dyDescent="0.2">
      <c r="A85" s="83"/>
      <c r="B85" s="84"/>
      <c r="C85" s="36"/>
      <c r="D85" s="36"/>
    </row>
    <row r="86" spans="1:4" s="5" customFormat="1" ht="11.25" x14ac:dyDescent="0.2">
      <c r="A86" s="83"/>
      <c r="B86" s="84"/>
      <c r="C86" s="36"/>
      <c r="D86" s="36"/>
    </row>
    <row r="87" spans="1:4" s="5" customFormat="1" ht="11.25" x14ac:dyDescent="0.2">
      <c r="A87" s="83"/>
      <c r="B87" s="84"/>
      <c r="C87" s="36"/>
      <c r="D87" s="36"/>
    </row>
    <row r="88" spans="1:4" s="5" customFormat="1" ht="11.25" x14ac:dyDescent="0.2">
      <c r="A88" s="83"/>
      <c r="B88" s="84"/>
      <c r="C88" s="36"/>
      <c r="D88" s="36"/>
    </row>
    <row r="89" spans="1:4" s="5" customFormat="1" ht="11.25" x14ac:dyDescent="0.2">
      <c r="A89" s="83"/>
      <c r="B89" s="84"/>
      <c r="C89" s="36"/>
      <c r="D89" s="36"/>
    </row>
    <row r="90" spans="1:4" s="5" customFormat="1" ht="11.25" x14ac:dyDescent="0.2">
      <c r="A90" s="83"/>
      <c r="B90" s="84"/>
      <c r="C90" s="36"/>
      <c r="D90" s="36"/>
    </row>
    <row r="91" spans="1:4" s="5" customFormat="1" ht="11.25" x14ac:dyDescent="0.2">
      <c r="A91" s="83"/>
      <c r="B91" s="84"/>
      <c r="C91" s="36"/>
      <c r="D91" s="36"/>
    </row>
    <row r="92" spans="1:4" s="5" customFormat="1" ht="11.25" x14ac:dyDescent="0.2">
      <c r="A92" s="83"/>
      <c r="B92" s="84"/>
      <c r="C92" s="36"/>
      <c r="D92" s="36"/>
    </row>
    <row r="93" spans="1:4" s="5" customFormat="1" ht="11.25" x14ac:dyDescent="0.2">
      <c r="A93" s="83"/>
      <c r="B93" s="84"/>
      <c r="C93" s="36"/>
      <c r="D93" s="36"/>
    </row>
    <row r="94" spans="1:4" s="5" customFormat="1" ht="11.25" x14ac:dyDescent="0.2">
      <c r="A94" s="83"/>
      <c r="B94" s="84"/>
      <c r="C94" s="36"/>
      <c r="D94" s="36"/>
    </row>
    <row r="95" spans="1:4" s="5" customFormat="1" ht="11.25" x14ac:dyDescent="0.2">
      <c r="A95" s="83"/>
      <c r="B95" s="84"/>
      <c r="C95" s="36"/>
      <c r="D95" s="36"/>
    </row>
    <row r="96" spans="1:4" s="5" customFormat="1" ht="11.25" x14ac:dyDescent="0.2">
      <c r="A96" s="83"/>
      <c r="B96" s="84"/>
      <c r="C96" s="36"/>
      <c r="D96" s="36"/>
    </row>
    <row r="97" spans="1:4" s="5" customFormat="1" ht="11.25" x14ac:dyDescent="0.2">
      <c r="A97" s="83"/>
      <c r="B97" s="84"/>
      <c r="C97" s="36"/>
      <c r="D97" s="36"/>
    </row>
    <row r="98" spans="1:4" s="5" customFormat="1" ht="11.25" x14ac:dyDescent="0.2">
      <c r="A98" s="83"/>
      <c r="B98" s="84"/>
      <c r="C98" s="36"/>
      <c r="D98" s="36"/>
    </row>
    <row r="99" spans="1:4" s="5" customFormat="1" ht="11.25" x14ac:dyDescent="0.2">
      <c r="A99" s="83"/>
      <c r="B99" s="84"/>
      <c r="C99" s="36"/>
      <c r="D99" s="36"/>
    </row>
    <row r="100" spans="1:4" s="5" customFormat="1" ht="11.25" x14ac:dyDescent="0.2">
      <c r="A100" s="83"/>
      <c r="B100" s="84"/>
      <c r="C100" s="36"/>
      <c r="D100" s="36"/>
    </row>
    <row r="101" spans="1:4" s="5" customFormat="1" ht="11.25" x14ac:dyDescent="0.2">
      <c r="A101" s="83"/>
      <c r="B101" s="84"/>
      <c r="C101" s="36"/>
      <c r="D101" s="36"/>
    </row>
    <row r="102" spans="1:4" s="5" customFormat="1" ht="11.25" x14ac:dyDescent="0.2">
      <c r="A102" s="83"/>
      <c r="B102" s="84"/>
      <c r="C102" s="36"/>
      <c r="D102" s="36"/>
    </row>
    <row r="103" spans="1:4" s="5" customFormat="1" ht="11.25" x14ac:dyDescent="0.2">
      <c r="A103" s="83"/>
      <c r="B103" s="84"/>
      <c r="C103" s="36"/>
      <c r="D103" s="36"/>
    </row>
    <row r="104" spans="1:4" s="5" customFormat="1" ht="11.25" x14ac:dyDescent="0.2">
      <c r="A104" s="83"/>
      <c r="B104" s="84"/>
      <c r="C104" s="36"/>
      <c r="D104" s="36"/>
    </row>
    <row r="105" spans="1:4" s="5" customFormat="1" ht="11.25" x14ac:dyDescent="0.2">
      <c r="A105" s="83"/>
      <c r="B105" s="84"/>
      <c r="C105" s="36"/>
      <c r="D105" s="36"/>
    </row>
    <row r="106" spans="1:4" s="5" customFormat="1" ht="11.25" x14ac:dyDescent="0.2">
      <c r="A106" s="83"/>
      <c r="B106" s="84"/>
      <c r="C106" s="36"/>
      <c r="D106" s="36"/>
    </row>
    <row r="107" spans="1:4" s="5" customFormat="1" ht="11.25" x14ac:dyDescent="0.2">
      <c r="A107" s="83"/>
      <c r="B107" s="84"/>
      <c r="C107" s="36"/>
      <c r="D107" s="36"/>
    </row>
    <row r="108" spans="1:4" s="5" customFormat="1" ht="11.25" x14ac:dyDescent="0.2">
      <c r="A108" s="83"/>
      <c r="B108" s="84"/>
      <c r="C108" s="36"/>
      <c r="D108" s="36"/>
    </row>
    <row r="109" spans="1:4" s="5" customFormat="1" ht="11.25" x14ac:dyDescent="0.2">
      <c r="A109" s="83"/>
      <c r="B109" s="84"/>
      <c r="C109" s="36"/>
      <c r="D109" s="36"/>
    </row>
    <row r="110" spans="1:4" s="5" customFormat="1" ht="11.25" x14ac:dyDescent="0.2">
      <c r="A110" s="83"/>
      <c r="B110" s="84"/>
      <c r="C110" s="36"/>
      <c r="D110" s="36"/>
    </row>
    <row r="111" spans="1:4" s="5" customFormat="1" ht="11.25" x14ac:dyDescent="0.2">
      <c r="A111" s="83"/>
      <c r="B111" s="84"/>
      <c r="C111" s="36"/>
      <c r="D111" s="36"/>
    </row>
    <row r="112" spans="1:4" s="5" customFormat="1" ht="11.25" x14ac:dyDescent="0.2">
      <c r="A112" s="83"/>
      <c r="B112" s="84"/>
      <c r="C112" s="36"/>
      <c r="D112" s="36"/>
    </row>
    <row r="113" spans="1:4" s="5" customFormat="1" ht="11.25" x14ac:dyDescent="0.2">
      <c r="A113" s="83"/>
      <c r="B113" s="84"/>
      <c r="C113" s="36"/>
      <c r="D113" s="36"/>
    </row>
    <row r="114" spans="1:4" s="5" customFormat="1" ht="11.25" x14ac:dyDescent="0.2">
      <c r="A114" s="83"/>
      <c r="B114" s="84"/>
      <c r="C114" s="36"/>
      <c r="D114" s="36"/>
    </row>
    <row r="115" spans="1:4" s="5" customFormat="1" ht="11.25" x14ac:dyDescent="0.2">
      <c r="A115" s="83"/>
      <c r="B115" s="84"/>
      <c r="C115" s="36"/>
      <c r="D115" s="36"/>
    </row>
    <row r="116" spans="1:4" s="5" customFormat="1" ht="11.25" x14ac:dyDescent="0.2">
      <c r="A116" s="83"/>
      <c r="B116" s="84"/>
      <c r="C116" s="36"/>
      <c r="D116" s="36"/>
    </row>
    <row r="117" spans="1:4" s="5" customFormat="1" ht="11.25" x14ac:dyDescent="0.2">
      <c r="A117" s="83"/>
      <c r="B117" s="84"/>
      <c r="C117" s="36"/>
      <c r="D117" s="36"/>
    </row>
    <row r="118" spans="1:4" s="5" customFormat="1" ht="11.25" x14ac:dyDescent="0.2">
      <c r="A118" s="83"/>
      <c r="B118" s="84"/>
      <c r="C118" s="36"/>
      <c r="D118" s="36"/>
    </row>
    <row r="119" spans="1:4" s="5" customFormat="1" ht="11.25" x14ac:dyDescent="0.2">
      <c r="A119" s="83"/>
      <c r="B119" s="84"/>
      <c r="C119" s="36"/>
      <c r="D119" s="36"/>
    </row>
    <row r="120" spans="1:4" s="5" customFormat="1" ht="11.25" x14ac:dyDescent="0.2">
      <c r="A120" s="83"/>
      <c r="B120" s="84"/>
      <c r="C120" s="36"/>
      <c r="D120" s="36"/>
    </row>
    <row r="121" spans="1:4" s="5" customFormat="1" ht="11.25" x14ac:dyDescent="0.2">
      <c r="A121" s="83"/>
      <c r="B121" s="84"/>
      <c r="C121" s="36"/>
      <c r="D121" s="36"/>
    </row>
    <row r="122" spans="1:4" s="5" customFormat="1" ht="11.25" x14ac:dyDescent="0.2">
      <c r="A122" s="83"/>
      <c r="B122" s="84"/>
      <c r="C122" s="36"/>
      <c r="D122" s="36"/>
    </row>
    <row r="123" spans="1:4" s="5" customFormat="1" ht="11.25" x14ac:dyDescent="0.2">
      <c r="A123" s="83"/>
      <c r="B123" s="84"/>
      <c r="C123" s="36"/>
      <c r="D123" s="36"/>
    </row>
    <row r="124" spans="1:4" s="5" customFormat="1" ht="11.25" x14ac:dyDescent="0.2">
      <c r="A124" s="83"/>
      <c r="B124" s="84"/>
      <c r="C124" s="36"/>
      <c r="D124" s="36"/>
    </row>
    <row r="125" spans="1:4" s="5" customFormat="1" ht="11.25" x14ac:dyDescent="0.2">
      <c r="A125" s="83"/>
      <c r="B125" s="84"/>
      <c r="C125" s="36"/>
      <c r="D125" s="36"/>
    </row>
    <row r="126" spans="1:4" s="5" customFormat="1" ht="11.25" x14ac:dyDescent="0.2">
      <c r="A126" s="83"/>
      <c r="B126" s="84"/>
      <c r="C126" s="36"/>
      <c r="D126" s="36"/>
    </row>
    <row r="127" spans="1:4" s="5" customFormat="1" ht="11.25" x14ac:dyDescent="0.2">
      <c r="A127" s="83"/>
      <c r="B127" s="84"/>
      <c r="C127" s="36"/>
      <c r="D127" s="36"/>
    </row>
    <row r="128" spans="1:4" x14ac:dyDescent="0.2">
      <c r="A128" s="83"/>
      <c r="B128" s="84"/>
      <c r="C128" s="36"/>
      <c r="D128" s="36"/>
    </row>
    <row r="129" spans="1:4" x14ac:dyDescent="0.2">
      <c r="A129" s="83"/>
      <c r="B129" s="84"/>
      <c r="C129" s="36"/>
      <c r="D129" s="36"/>
    </row>
    <row r="130" spans="1:4" x14ac:dyDescent="0.2">
      <c r="A130" s="83"/>
      <c r="B130" s="84"/>
      <c r="C130" s="36"/>
      <c r="D130" s="36"/>
    </row>
    <row r="131" spans="1:4" x14ac:dyDescent="0.2">
      <c r="A131" s="83"/>
      <c r="B131" s="84"/>
      <c r="C131" s="36"/>
      <c r="D131" s="36"/>
    </row>
    <row r="132" spans="1:4" x14ac:dyDescent="0.2">
      <c r="A132" s="83"/>
      <c r="B132" s="84"/>
      <c r="C132" s="36"/>
      <c r="D132" s="36"/>
    </row>
    <row r="133" spans="1:4" x14ac:dyDescent="0.2">
      <c r="A133" s="83"/>
      <c r="B133" s="84"/>
      <c r="C133" s="36"/>
      <c r="D133" s="36"/>
    </row>
    <row r="134" spans="1:4" x14ac:dyDescent="0.2">
      <c r="A134" s="83"/>
      <c r="B134" s="84"/>
      <c r="C134" s="36"/>
      <c r="D134" s="36"/>
    </row>
    <row r="135" spans="1:4" x14ac:dyDescent="0.2">
      <c r="A135" s="83"/>
      <c r="B135" s="84"/>
      <c r="C135" s="36"/>
      <c r="D135" s="36"/>
    </row>
    <row r="136" spans="1:4" x14ac:dyDescent="0.2">
      <c r="A136" s="83"/>
      <c r="B136" s="84"/>
      <c r="C136" s="36"/>
      <c r="D136" s="36"/>
    </row>
    <row r="137" spans="1:4" x14ac:dyDescent="0.2">
      <c r="A137" s="83"/>
      <c r="B137" s="84"/>
      <c r="C137" s="36"/>
      <c r="D137" s="36"/>
    </row>
    <row r="138" spans="1:4" x14ac:dyDescent="0.2">
      <c r="A138" s="83"/>
      <c r="B138" s="84"/>
      <c r="C138" s="36"/>
      <c r="D138" s="36"/>
    </row>
    <row r="139" spans="1:4" x14ac:dyDescent="0.2">
      <c r="A139" s="83"/>
      <c r="B139" s="84"/>
      <c r="C139" s="36"/>
      <c r="D139" s="36"/>
    </row>
    <row r="140" spans="1:4" x14ac:dyDescent="0.2">
      <c r="A140" s="83"/>
      <c r="B140" s="84"/>
      <c r="C140" s="36"/>
      <c r="D140" s="36"/>
    </row>
    <row r="141" spans="1:4" x14ac:dyDescent="0.2">
      <c r="A141" s="83"/>
      <c r="B141" s="84"/>
      <c r="C141" s="36"/>
      <c r="D141" s="36"/>
    </row>
    <row r="142" spans="1:4" x14ac:dyDescent="0.2">
      <c r="A142" s="83"/>
      <c r="B142" s="84"/>
      <c r="C142" s="36"/>
      <c r="D142" s="36"/>
    </row>
    <row r="143" spans="1:4" x14ac:dyDescent="0.2">
      <c r="A143" s="83"/>
      <c r="B143" s="84"/>
      <c r="C143" s="36"/>
      <c r="D143" s="36"/>
    </row>
    <row r="144" spans="1:4" x14ac:dyDescent="0.2">
      <c r="A144" s="83"/>
      <c r="B144" s="84"/>
      <c r="C144" s="36"/>
      <c r="D144" s="36"/>
    </row>
    <row r="145" spans="1:4" x14ac:dyDescent="0.2">
      <c r="A145" s="83"/>
      <c r="B145" s="84"/>
      <c r="C145" s="36"/>
      <c r="D145" s="36"/>
    </row>
    <row r="146" spans="1:4" x14ac:dyDescent="0.2">
      <c r="A146" s="83"/>
      <c r="B146" s="84"/>
      <c r="C146" s="36"/>
      <c r="D146" s="36"/>
    </row>
    <row r="147" spans="1:4" x14ac:dyDescent="0.2">
      <c r="A147" s="83"/>
      <c r="B147" s="84"/>
      <c r="C147" s="36"/>
      <c r="D147" s="36"/>
    </row>
    <row r="148" spans="1:4" x14ac:dyDescent="0.2">
      <c r="A148" s="83"/>
      <c r="B148" s="84"/>
      <c r="C148" s="36"/>
      <c r="D148" s="36"/>
    </row>
    <row r="149" spans="1:4" x14ac:dyDescent="0.2">
      <c r="A149" s="83"/>
      <c r="B149" s="84"/>
      <c r="C149" s="36"/>
      <c r="D149" s="36"/>
    </row>
    <row r="150" spans="1:4" x14ac:dyDescent="0.2">
      <c r="A150" s="83"/>
      <c r="B150" s="84"/>
      <c r="C150" s="36"/>
      <c r="D150" s="36"/>
    </row>
    <row r="151" spans="1:4" x14ac:dyDescent="0.2">
      <c r="A151" s="83"/>
      <c r="B151" s="84"/>
      <c r="C151" s="36"/>
      <c r="D151" s="36"/>
    </row>
    <row r="152" spans="1:4" x14ac:dyDescent="0.2">
      <c r="A152" s="83"/>
      <c r="B152" s="84"/>
      <c r="C152" s="36"/>
      <c r="D152" s="36"/>
    </row>
    <row r="153" spans="1:4" x14ac:dyDescent="0.2">
      <c r="A153" s="83"/>
      <c r="B153" s="84"/>
      <c r="C153" s="36"/>
      <c r="D153" s="36"/>
    </row>
    <row r="154" spans="1:4" x14ac:dyDescent="0.2">
      <c r="A154" s="83"/>
      <c r="B154" s="84"/>
      <c r="C154" s="36"/>
      <c r="D154" s="36"/>
    </row>
    <row r="155" spans="1:4" x14ac:dyDescent="0.2">
      <c r="A155" s="83"/>
      <c r="B155" s="84"/>
      <c r="C155" s="36"/>
      <c r="D155" s="36"/>
    </row>
    <row r="156" spans="1:4" x14ac:dyDescent="0.2">
      <c r="A156" s="83"/>
      <c r="B156" s="84"/>
      <c r="C156" s="36"/>
      <c r="D156" s="36"/>
    </row>
    <row r="157" spans="1:4" x14ac:dyDescent="0.2">
      <c r="A157" s="83"/>
      <c r="B157" s="84"/>
      <c r="C157" s="36"/>
      <c r="D157" s="36"/>
    </row>
    <row r="158" spans="1:4" x14ac:dyDescent="0.2">
      <c r="A158" s="83"/>
      <c r="B158" s="84"/>
      <c r="C158" s="36"/>
      <c r="D158" s="36"/>
    </row>
    <row r="159" spans="1:4" x14ac:dyDescent="0.2">
      <c r="A159" s="83"/>
      <c r="B159" s="84"/>
      <c r="C159" s="36"/>
      <c r="D159" s="36"/>
    </row>
    <row r="160" spans="1:4" x14ac:dyDescent="0.2">
      <c r="A160" s="83"/>
      <c r="B160" s="84"/>
      <c r="C160" s="36"/>
      <c r="D160" s="36"/>
    </row>
    <row r="161" spans="1:4" x14ac:dyDescent="0.2">
      <c r="A161" s="83"/>
      <c r="B161" s="84"/>
      <c r="C161" s="36"/>
      <c r="D161" s="36"/>
    </row>
    <row r="162" spans="1:4" x14ac:dyDescent="0.2">
      <c r="A162" s="83"/>
      <c r="B162" s="84"/>
      <c r="C162" s="36"/>
      <c r="D162" s="36"/>
    </row>
    <row r="163" spans="1:4" x14ac:dyDescent="0.2">
      <c r="A163" s="83"/>
      <c r="B163" s="84"/>
      <c r="C163" s="36"/>
      <c r="D163" s="36"/>
    </row>
    <row r="164" spans="1:4" x14ac:dyDescent="0.2">
      <c r="A164" s="83"/>
      <c r="B164" s="84"/>
      <c r="C164" s="36"/>
      <c r="D164" s="36"/>
    </row>
    <row r="165" spans="1:4" x14ac:dyDescent="0.2">
      <c r="A165" s="83"/>
      <c r="B165" s="84"/>
      <c r="C165" s="36"/>
      <c r="D165" s="36"/>
    </row>
    <row r="166" spans="1:4" x14ac:dyDescent="0.2">
      <c r="A166" s="83"/>
      <c r="B166" s="84"/>
      <c r="C166" s="36"/>
      <c r="D166" s="36"/>
    </row>
    <row r="167" spans="1:4" x14ac:dyDescent="0.2">
      <c r="A167" s="83"/>
      <c r="B167" s="84"/>
      <c r="C167" s="36"/>
      <c r="D167" s="36"/>
    </row>
    <row r="168" spans="1:4" x14ac:dyDescent="0.2">
      <c r="A168" s="83"/>
      <c r="B168" s="84"/>
      <c r="C168" s="36"/>
      <c r="D168" s="36"/>
    </row>
    <row r="169" spans="1:4" x14ac:dyDescent="0.2">
      <c r="A169" s="83"/>
      <c r="B169" s="84"/>
      <c r="C169" s="36"/>
      <c r="D169" s="36"/>
    </row>
    <row r="170" spans="1:4" x14ac:dyDescent="0.2">
      <c r="A170" s="83"/>
      <c r="B170" s="84"/>
      <c r="C170" s="36"/>
      <c r="D170" s="36"/>
    </row>
    <row r="171" spans="1:4" x14ac:dyDescent="0.2">
      <c r="A171" s="83"/>
      <c r="B171" s="84"/>
      <c r="C171" s="36"/>
      <c r="D171" s="36"/>
    </row>
    <row r="172" spans="1:4" x14ac:dyDescent="0.2">
      <c r="A172" s="83"/>
      <c r="B172" s="84"/>
      <c r="C172" s="36"/>
      <c r="D172" s="36"/>
    </row>
    <row r="173" spans="1:4" x14ac:dyDescent="0.2">
      <c r="A173" s="83"/>
      <c r="B173" s="84"/>
      <c r="C173" s="36"/>
      <c r="D173" s="36"/>
    </row>
    <row r="174" spans="1:4" x14ac:dyDescent="0.2">
      <c r="A174" s="83"/>
      <c r="B174" s="84"/>
      <c r="C174" s="36"/>
      <c r="D174" s="36"/>
    </row>
    <row r="175" spans="1:4" x14ac:dyDescent="0.2">
      <c r="A175" s="83"/>
      <c r="B175" s="84"/>
      <c r="C175" s="36"/>
      <c r="D175" s="36"/>
    </row>
    <row r="176" spans="1:4" x14ac:dyDescent="0.2">
      <c r="A176" s="83"/>
      <c r="B176" s="84"/>
      <c r="C176" s="36"/>
      <c r="D176" s="36"/>
    </row>
    <row r="177" spans="1:4" x14ac:dyDescent="0.2">
      <c r="A177" s="83"/>
      <c r="B177" s="84"/>
      <c r="C177" s="36"/>
      <c r="D177" s="36"/>
    </row>
    <row r="178" spans="1:4" x14ac:dyDescent="0.2">
      <c r="A178" s="83"/>
      <c r="B178" s="84"/>
      <c r="C178" s="36"/>
      <c r="D178" s="36"/>
    </row>
    <row r="179" spans="1:4" x14ac:dyDescent="0.2">
      <c r="A179" s="83"/>
      <c r="B179" s="84"/>
      <c r="C179" s="36"/>
      <c r="D179" s="36"/>
    </row>
    <row r="180" spans="1:4" x14ac:dyDescent="0.2">
      <c r="A180" s="83"/>
      <c r="B180" s="84"/>
      <c r="C180" s="36"/>
      <c r="D180" s="36"/>
    </row>
    <row r="181" spans="1:4" x14ac:dyDescent="0.2">
      <c r="A181" s="83"/>
      <c r="B181" s="84"/>
      <c r="C181" s="36"/>
      <c r="D181" s="36"/>
    </row>
    <row r="182" spans="1:4" x14ac:dyDescent="0.2">
      <c r="A182" s="83"/>
      <c r="B182" s="84"/>
      <c r="C182" s="36"/>
      <c r="D182" s="36"/>
    </row>
    <row r="183" spans="1:4" x14ac:dyDescent="0.2">
      <c r="A183" s="83"/>
      <c r="B183" s="84"/>
      <c r="C183" s="36"/>
      <c r="D183" s="36"/>
    </row>
    <row r="184" spans="1:4" x14ac:dyDescent="0.2">
      <c r="A184" s="83"/>
      <c r="B184" s="84"/>
      <c r="C184" s="36"/>
      <c r="D184" s="36"/>
    </row>
    <row r="185" spans="1:4" x14ac:dyDescent="0.2">
      <c r="A185" s="83"/>
      <c r="B185" s="84"/>
      <c r="C185" s="36"/>
      <c r="D185" s="36"/>
    </row>
    <row r="186" spans="1:4" x14ac:dyDescent="0.2">
      <c r="A186" s="83"/>
      <c r="B186" s="84"/>
      <c r="C186" s="36"/>
      <c r="D186" s="36"/>
    </row>
    <row r="187" spans="1:4" x14ac:dyDescent="0.2">
      <c r="A187" s="83"/>
      <c r="B187" s="84"/>
      <c r="C187" s="36"/>
      <c r="D187" s="36"/>
    </row>
    <row r="188" spans="1:4" x14ac:dyDescent="0.2">
      <c r="A188" s="83"/>
      <c r="B188" s="84"/>
      <c r="C188" s="36"/>
      <c r="D188" s="36"/>
    </row>
    <row r="189" spans="1:4" x14ac:dyDescent="0.2">
      <c r="A189" s="83"/>
      <c r="B189" s="84"/>
      <c r="C189" s="36"/>
      <c r="D189" s="36"/>
    </row>
    <row r="190" spans="1:4" x14ac:dyDescent="0.2">
      <c r="A190" s="83"/>
      <c r="B190" s="84"/>
      <c r="C190" s="36"/>
      <c r="D190" s="36"/>
    </row>
    <row r="191" spans="1:4" x14ac:dyDescent="0.2">
      <c r="A191" s="83"/>
      <c r="B191" s="84"/>
      <c r="C191" s="36"/>
      <c r="D191" s="36"/>
    </row>
    <row r="192" spans="1:4" x14ac:dyDescent="0.2">
      <c r="A192" s="83"/>
      <c r="B192" s="84"/>
      <c r="C192" s="36"/>
      <c r="D192" s="36"/>
    </row>
    <row r="193" spans="1:4" x14ac:dyDescent="0.2">
      <c r="A193" s="83"/>
      <c r="B193" s="84"/>
      <c r="C193" s="36"/>
      <c r="D193" s="36"/>
    </row>
    <row r="194" spans="1:4" x14ac:dyDescent="0.2">
      <c r="A194" s="83"/>
      <c r="B194" s="84"/>
      <c r="C194" s="36"/>
      <c r="D194" s="36"/>
    </row>
    <row r="195" spans="1:4" x14ac:dyDescent="0.2">
      <c r="A195" s="83"/>
      <c r="B195" s="84"/>
      <c r="C195" s="36"/>
      <c r="D195" s="36"/>
    </row>
    <row r="196" spans="1:4" x14ac:dyDescent="0.2">
      <c r="A196" s="83"/>
      <c r="B196" s="84"/>
      <c r="C196" s="36"/>
      <c r="D196" s="36"/>
    </row>
    <row r="197" spans="1:4" x14ac:dyDescent="0.2">
      <c r="A197" s="83"/>
      <c r="B197" s="84"/>
      <c r="C197" s="36"/>
      <c r="D197" s="36"/>
    </row>
    <row r="198" spans="1:4" x14ac:dyDescent="0.2">
      <c r="A198" s="83"/>
      <c r="B198" s="84"/>
      <c r="C198" s="36"/>
      <c r="D198" s="36"/>
    </row>
    <row r="199" spans="1:4" x14ac:dyDescent="0.2">
      <c r="A199" s="83"/>
      <c r="B199" s="84"/>
      <c r="C199" s="36"/>
      <c r="D199" s="36"/>
    </row>
    <row r="200" spans="1:4" x14ac:dyDescent="0.2">
      <c r="A200" s="83"/>
      <c r="B200" s="84"/>
      <c r="C200" s="36"/>
      <c r="D200" s="36"/>
    </row>
    <row r="201" spans="1:4" x14ac:dyDescent="0.2">
      <c r="A201" s="83"/>
      <c r="B201" s="84"/>
      <c r="C201" s="36"/>
      <c r="D201" s="36"/>
    </row>
    <row r="202" spans="1:4" x14ac:dyDescent="0.2">
      <c r="A202" s="83"/>
      <c r="B202" s="84"/>
      <c r="C202" s="36"/>
      <c r="D202" s="36"/>
    </row>
    <row r="203" spans="1:4" x14ac:dyDescent="0.2">
      <c r="A203" s="83"/>
      <c r="B203" s="84"/>
      <c r="C203" s="36"/>
      <c r="D203" s="36"/>
    </row>
    <row r="204" spans="1:4" x14ac:dyDescent="0.2">
      <c r="A204" s="83"/>
      <c r="B204" s="84"/>
      <c r="C204" s="36"/>
      <c r="D204" s="36"/>
    </row>
    <row r="205" spans="1:4" x14ac:dyDescent="0.2">
      <c r="A205" s="83"/>
      <c r="B205" s="84"/>
      <c r="C205" s="36"/>
      <c r="D205" s="36"/>
    </row>
    <row r="206" spans="1:4" x14ac:dyDescent="0.2">
      <c r="A206" s="83"/>
      <c r="B206" s="84"/>
      <c r="C206" s="36"/>
      <c r="D206" s="36"/>
    </row>
    <row r="207" spans="1:4" x14ac:dyDescent="0.2">
      <c r="A207" s="83"/>
      <c r="B207" s="84"/>
      <c r="C207" s="36"/>
      <c r="D207" s="36"/>
    </row>
    <row r="208" spans="1:4" x14ac:dyDescent="0.2">
      <c r="A208" s="83"/>
      <c r="B208" s="84"/>
      <c r="C208" s="36"/>
      <c r="D208" s="36"/>
    </row>
    <row r="209" spans="1:4" x14ac:dyDescent="0.2">
      <c r="A209" s="83"/>
      <c r="B209" s="84"/>
      <c r="C209" s="36"/>
      <c r="D209" s="36"/>
    </row>
    <row r="210" spans="1:4" x14ac:dyDescent="0.2">
      <c r="A210" s="83"/>
      <c r="B210" s="84"/>
      <c r="C210" s="36"/>
      <c r="D210" s="36"/>
    </row>
    <row r="211" spans="1:4" x14ac:dyDescent="0.2">
      <c r="A211" s="83"/>
      <c r="B211" s="84"/>
      <c r="C211" s="36"/>
      <c r="D211" s="36"/>
    </row>
    <row r="212" spans="1:4" x14ac:dyDescent="0.2">
      <c r="A212" s="83"/>
      <c r="B212" s="84"/>
      <c r="C212" s="36"/>
      <c r="D212" s="36"/>
    </row>
    <row r="213" spans="1:4" x14ac:dyDescent="0.2">
      <c r="A213" s="83"/>
      <c r="B213" s="84"/>
      <c r="C213" s="36"/>
      <c r="D213" s="36"/>
    </row>
    <row r="214" spans="1:4" x14ac:dyDescent="0.2">
      <c r="A214" s="83"/>
      <c r="B214" s="84"/>
      <c r="C214" s="36"/>
      <c r="D214" s="36"/>
    </row>
    <row r="215" spans="1:4" x14ac:dyDescent="0.2">
      <c r="A215" s="83"/>
      <c r="B215" s="84"/>
      <c r="C215" s="36"/>
      <c r="D215" s="36"/>
    </row>
    <row r="216" spans="1:4" x14ac:dyDescent="0.2">
      <c r="A216" s="83"/>
      <c r="B216" s="84"/>
      <c r="C216" s="36"/>
      <c r="D216" s="36"/>
    </row>
    <row r="217" spans="1:4" x14ac:dyDescent="0.2">
      <c r="A217" s="83"/>
      <c r="B217" s="84"/>
      <c r="C217" s="36"/>
      <c r="D217" s="36"/>
    </row>
    <row r="218" spans="1:4" x14ac:dyDescent="0.2">
      <c r="A218" s="83"/>
      <c r="B218" s="84"/>
      <c r="C218" s="36"/>
      <c r="D218" s="36"/>
    </row>
    <row r="219" spans="1:4" x14ac:dyDescent="0.2">
      <c r="A219" s="83"/>
      <c r="B219" s="84"/>
      <c r="C219" s="36"/>
      <c r="D219" s="36"/>
    </row>
    <row r="220" spans="1:4" x14ac:dyDescent="0.2">
      <c r="A220" s="83"/>
      <c r="B220" s="84"/>
      <c r="C220" s="36"/>
      <c r="D220" s="36"/>
    </row>
    <row r="221" spans="1:4" x14ac:dyDescent="0.2">
      <c r="A221" s="83"/>
      <c r="B221" s="84"/>
      <c r="C221" s="36"/>
      <c r="D221" s="36"/>
    </row>
    <row r="222" spans="1:4" x14ac:dyDescent="0.2">
      <c r="A222" s="83"/>
      <c r="B222" s="84"/>
      <c r="C222" s="36"/>
      <c r="D222" s="36"/>
    </row>
    <row r="223" spans="1:4" x14ac:dyDescent="0.2">
      <c r="A223" s="83"/>
      <c r="B223" s="84"/>
      <c r="C223" s="36"/>
      <c r="D223" s="36"/>
    </row>
    <row r="224" spans="1:4" x14ac:dyDescent="0.2">
      <c r="A224" s="83"/>
      <c r="B224" s="84"/>
      <c r="C224" s="36"/>
      <c r="D224" s="36"/>
    </row>
    <row r="225" spans="1:4" x14ac:dyDescent="0.2">
      <c r="A225" s="83"/>
      <c r="B225" s="84"/>
      <c r="C225" s="36"/>
      <c r="D225" s="36"/>
    </row>
    <row r="226" spans="1:4" x14ac:dyDescent="0.2">
      <c r="A226" s="83"/>
      <c r="B226" s="84"/>
      <c r="C226" s="36"/>
      <c r="D226" s="36"/>
    </row>
    <row r="227" spans="1:4" x14ac:dyDescent="0.2">
      <c r="A227" s="83"/>
      <c r="B227" s="84"/>
      <c r="C227" s="36"/>
      <c r="D227" s="36"/>
    </row>
    <row r="228" spans="1:4" x14ac:dyDescent="0.2">
      <c r="A228" s="83"/>
      <c r="B228" s="84"/>
      <c r="C228" s="36"/>
      <c r="D228" s="36"/>
    </row>
    <row r="229" spans="1:4" x14ac:dyDescent="0.2">
      <c r="A229" s="83"/>
      <c r="B229" s="84"/>
      <c r="C229" s="36"/>
      <c r="D229" s="36"/>
    </row>
    <row r="230" spans="1:4" x14ac:dyDescent="0.2">
      <c r="A230" s="83"/>
      <c r="B230" s="84"/>
      <c r="C230" s="36"/>
      <c r="D230" s="36"/>
    </row>
    <row r="231" spans="1:4" x14ac:dyDescent="0.2">
      <c r="A231" s="83"/>
      <c r="B231" s="84"/>
      <c r="C231" s="36"/>
      <c r="D231" s="36"/>
    </row>
    <row r="232" spans="1:4" x14ac:dyDescent="0.2">
      <c r="A232" s="83"/>
      <c r="B232" s="84"/>
      <c r="C232" s="36"/>
      <c r="D232" s="36"/>
    </row>
    <row r="233" spans="1:4" x14ac:dyDescent="0.2">
      <c r="A233" s="83"/>
      <c r="B233" s="84"/>
      <c r="C233" s="36"/>
      <c r="D233" s="36"/>
    </row>
    <row r="234" spans="1:4" x14ac:dyDescent="0.2">
      <c r="A234" s="83"/>
      <c r="B234" s="84"/>
      <c r="C234" s="36"/>
      <c r="D234" s="36"/>
    </row>
    <row r="235" spans="1:4" x14ac:dyDescent="0.2">
      <c r="A235" s="83"/>
      <c r="B235" s="84"/>
      <c r="C235" s="36"/>
      <c r="D235" s="36"/>
    </row>
    <row r="236" spans="1:4" x14ac:dyDescent="0.2">
      <c r="A236" s="83"/>
      <c r="B236" s="84"/>
      <c r="C236" s="36"/>
      <c r="D236" s="36"/>
    </row>
    <row r="237" spans="1:4" x14ac:dyDescent="0.2">
      <c r="A237" s="83"/>
      <c r="B237" s="84"/>
      <c r="C237" s="36"/>
      <c r="D237" s="36"/>
    </row>
    <row r="238" spans="1:4" x14ac:dyDescent="0.2">
      <c r="A238" s="83"/>
      <c r="B238" s="84"/>
      <c r="C238" s="36"/>
      <c r="D238" s="36"/>
    </row>
    <row r="239" spans="1:4" x14ac:dyDescent="0.2">
      <c r="A239" s="83"/>
      <c r="B239" s="84"/>
      <c r="C239" s="36"/>
      <c r="D239" s="36"/>
    </row>
    <row r="240" spans="1:4" x14ac:dyDescent="0.2">
      <c r="A240" s="83"/>
      <c r="B240" s="84"/>
      <c r="C240" s="36"/>
      <c r="D240" s="36"/>
    </row>
    <row r="241" spans="1:4" x14ac:dyDescent="0.2">
      <c r="A241" s="83"/>
      <c r="B241" s="84"/>
      <c r="C241" s="36"/>
      <c r="D241" s="36"/>
    </row>
    <row r="242" spans="1:4" x14ac:dyDescent="0.2">
      <c r="A242" s="83"/>
      <c r="B242" s="84"/>
      <c r="C242" s="5"/>
      <c r="D242" s="5"/>
    </row>
    <row r="243" spans="1:4" x14ac:dyDescent="0.2">
      <c r="A243" s="83"/>
      <c r="B243" s="84"/>
      <c r="C243" s="5"/>
      <c r="D243" s="5"/>
    </row>
    <row r="244" spans="1:4" x14ac:dyDescent="0.2">
      <c r="A244" s="83"/>
      <c r="B244" s="84"/>
      <c r="C244" s="5"/>
      <c r="D244" s="5"/>
    </row>
    <row r="245" spans="1:4" x14ac:dyDescent="0.2">
      <c r="A245" s="83"/>
      <c r="B245" s="84"/>
      <c r="C245" s="5"/>
      <c r="D245" s="5"/>
    </row>
    <row r="246" spans="1:4" x14ac:dyDescent="0.2">
      <c r="A246" s="83"/>
      <c r="B246" s="84"/>
      <c r="C246" s="5"/>
      <c r="D246" s="5"/>
    </row>
    <row r="247" spans="1:4" x14ac:dyDescent="0.2">
      <c r="A247" s="83"/>
      <c r="B247" s="84"/>
      <c r="C247" s="5"/>
      <c r="D247" s="5"/>
    </row>
    <row r="248" spans="1:4" x14ac:dyDescent="0.2">
      <c r="A248" s="83"/>
      <c r="B248" s="84"/>
      <c r="C248" s="5"/>
      <c r="D248" s="5"/>
    </row>
    <row r="249" spans="1:4" x14ac:dyDescent="0.2">
      <c r="A249" s="83"/>
      <c r="B249" s="84"/>
      <c r="C249" s="5"/>
      <c r="D249" s="5"/>
    </row>
    <row r="250" spans="1:4" x14ac:dyDescent="0.2">
      <c r="A250" s="83"/>
      <c r="B250" s="84"/>
      <c r="C250" s="5"/>
      <c r="D250" s="5"/>
    </row>
    <row r="251" spans="1:4" x14ac:dyDescent="0.2">
      <c r="A251" s="83"/>
      <c r="B251" s="84"/>
      <c r="C251" s="5"/>
      <c r="D251" s="5"/>
    </row>
    <row r="252" spans="1:4" x14ac:dyDescent="0.2">
      <c r="A252" s="83"/>
      <c r="B252" s="84"/>
      <c r="C252" s="5"/>
      <c r="D252" s="5"/>
    </row>
    <row r="253" spans="1:4" x14ac:dyDescent="0.2">
      <c r="A253" s="83"/>
      <c r="B253" s="84"/>
      <c r="C253" s="5"/>
      <c r="D253" s="5"/>
    </row>
    <row r="254" spans="1:4" x14ac:dyDescent="0.2">
      <c r="A254" s="83"/>
      <c r="B254" s="84"/>
      <c r="C254" s="5"/>
      <c r="D254" s="5"/>
    </row>
    <row r="255" spans="1:4" x14ac:dyDescent="0.2">
      <c r="A255" s="83"/>
      <c r="B255" s="84"/>
      <c r="C255" s="5"/>
      <c r="D255" s="5"/>
    </row>
    <row r="256" spans="1:4" x14ac:dyDescent="0.2">
      <c r="A256" s="83"/>
      <c r="B256" s="84"/>
      <c r="C256" s="5"/>
      <c r="D256" s="5"/>
    </row>
    <row r="257" spans="1:4" x14ac:dyDescent="0.2">
      <c r="A257" s="83"/>
      <c r="B257" s="84"/>
      <c r="C257" s="5"/>
      <c r="D257" s="5"/>
    </row>
    <row r="258" spans="1:4" x14ac:dyDescent="0.2">
      <c r="A258" s="83"/>
      <c r="B258" s="84"/>
      <c r="C258" s="5"/>
      <c r="D258" s="5"/>
    </row>
    <row r="259" spans="1:4" x14ac:dyDescent="0.2">
      <c r="A259" s="83"/>
      <c r="B259" s="84"/>
      <c r="C259" s="5"/>
      <c r="D259" s="5"/>
    </row>
    <row r="260" spans="1:4" x14ac:dyDescent="0.2">
      <c r="A260" s="83"/>
      <c r="B260" s="84"/>
      <c r="C260" s="5"/>
      <c r="D260" s="5"/>
    </row>
    <row r="261" spans="1:4" x14ac:dyDescent="0.2">
      <c r="A261" s="83"/>
      <c r="B261" s="84"/>
      <c r="C261" s="5"/>
      <c r="D261" s="5"/>
    </row>
    <row r="262" spans="1:4" x14ac:dyDescent="0.2">
      <c r="A262" s="83"/>
      <c r="B262" s="84"/>
      <c r="C262" s="5"/>
      <c r="D262" s="5"/>
    </row>
    <row r="263" spans="1:4" x14ac:dyDescent="0.2">
      <c r="A263" s="83"/>
      <c r="B263" s="84"/>
      <c r="C263" s="5"/>
      <c r="D263" s="5"/>
    </row>
    <row r="264" spans="1:4" x14ac:dyDescent="0.2">
      <c r="A264" s="83"/>
      <c r="B264" s="84"/>
      <c r="C264" s="5"/>
      <c r="D264" s="5"/>
    </row>
    <row r="265" spans="1:4" x14ac:dyDescent="0.2">
      <c r="A265" s="83"/>
      <c r="B265" s="84"/>
      <c r="C265" s="5"/>
      <c r="D265" s="5"/>
    </row>
    <row r="266" spans="1:4" x14ac:dyDescent="0.2">
      <c r="A266" s="83"/>
      <c r="B266" s="84"/>
      <c r="C266" s="5"/>
      <c r="D266" s="5"/>
    </row>
    <row r="267" spans="1:4" x14ac:dyDescent="0.2">
      <c r="A267" s="83"/>
      <c r="B267" s="84"/>
      <c r="C267" s="5"/>
      <c r="D267" s="5"/>
    </row>
    <row r="268" spans="1:4" x14ac:dyDescent="0.2">
      <c r="A268" s="83"/>
      <c r="B268" s="84"/>
      <c r="C268" s="5"/>
      <c r="D268" s="5"/>
    </row>
    <row r="269" spans="1:4" x14ac:dyDescent="0.2">
      <c r="A269" s="83"/>
      <c r="B269" s="84"/>
      <c r="C269" s="5"/>
      <c r="D269" s="5"/>
    </row>
    <row r="270" spans="1:4" x14ac:dyDescent="0.2">
      <c r="A270" s="83"/>
      <c r="B270" s="84"/>
      <c r="C270" s="5"/>
      <c r="D270" s="5"/>
    </row>
    <row r="271" spans="1:4" x14ac:dyDescent="0.2">
      <c r="A271" s="83"/>
      <c r="B271" s="84"/>
      <c r="C271" s="5"/>
      <c r="D271" s="5"/>
    </row>
    <row r="272" spans="1:4" x14ac:dyDescent="0.2">
      <c r="A272" s="83"/>
      <c r="B272" s="84"/>
      <c r="C272" s="5"/>
      <c r="D272" s="5"/>
    </row>
    <row r="273" spans="1:4" x14ac:dyDescent="0.2">
      <c r="A273" s="83"/>
      <c r="B273" s="84"/>
      <c r="C273" s="5"/>
      <c r="D273" s="5"/>
    </row>
    <row r="274" spans="1:4" x14ac:dyDescent="0.2">
      <c r="A274" s="83"/>
      <c r="B274" s="84"/>
      <c r="C274" s="5"/>
      <c r="D274" s="5"/>
    </row>
    <row r="275" spans="1:4" x14ac:dyDescent="0.2">
      <c r="A275" s="83"/>
      <c r="B275" s="84"/>
      <c r="C275" s="5"/>
      <c r="D275" s="5"/>
    </row>
    <row r="276" spans="1:4" x14ac:dyDescent="0.2">
      <c r="A276" s="83"/>
      <c r="B276" s="84"/>
      <c r="C276" s="5"/>
      <c r="D276" s="5"/>
    </row>
    <row r="277" spans="1:4" x14ac:dyDescent="0.2">
      <c r="A277" s="83"/>
      <c r="B277" s="84"/>
      <c r="C277" s="5"/>
      <c r="D277" s="5"/>
    </row>
    <row r="278" spans="1:4" x14ac:dyDescent="0.2">
      <c r="A278" s="83"/>
      <c r="B278" s="84"/>
      <c r="C278" s="5"/>
      <c r="D278" s="5"/>
    </row>
    <row r="279" spans="1:4" x14ac:dyDescent="0.2">
      <c r="A279" s="83"/>
      <c r="B279" s="84"/>
      <c r="C279" s="5"/>
      <c r="D279" s="5"/>
    </row>
    <row r="280" spans="1:4" x14ac:dyDescent="0.2">
      <c r="A280" s="83"/>
      <c r="B280" s="84"/>
      <c r="C280" s="5"/>
      <c r="D280" s="5"/>
    </row>
    <row r="281" spans="1:4" x14ac:dyDescent="0.2">
      <c r="A281" s="83"/>
      <c r="B281" s="84"/>
      <c r="C281" s="5"/>
      <c r="D281" s="5"/>
    </row>
    <row r="282" spans="1:4" x14ac:dyDescent="0.2">
      <c r="A282" s="83"/>
      <c r="B282" s="84"/>
      <c r="C282" s="5"/>
      <c r="D282" s="5"/>
    </row>
    <row r="283" spans="1:4" x14ac:dyDescent="0.2">
      <c r="A283" s="83"/>
      <c r="B283" s="84"/>
      <c r="C283" s="5"/>
      <c r="D283" s="5"/>
    </row>
    <row r="284" spans="1:4" x14ac:dyDescent="0.2">
      <c r="A284" s="83"/>
      <c r="B284" s="84"/>
      <c r="C284" s="5"/>
      <c r="D284" s="5"/>
    </row>
    <row r="285" spans="1:4" x14ac:dyDescent="0.2">
      <c r="A285" s="83"/>
      <c r="B285" s="84"/>
      <c r="C285" s="5"/>
      <c r="D285" s="5"/>
    </row>
    <row r="286" spans="1:4" x14ac:dyDescent="0.2">
      <c r="A286" s="83"/>
      <c r="B286" s="84"/>
      <c r="C286" s="5"/>
      <c r="D286" s="5"/>
    </row>
    <row r="287" spans="1:4" x14ac:dyDescent="0.2">
      <c r="A287" s="83"/>
      <c r="B287" s="84"/>
      <c r="C287" s="5"/>
      <c r="D287" s="5"/>
    </row>
    <row r="288" spans="1:4" x14ac:dyDescent="0.2">
      <c r="A288" s="83"/>
      <c r="B288" s="84"/>
      <c r="C288" s="5"/>
      <c r="D288" s="5"/>
    </row>
    <row r="289" spans="1:4" x14ac:dyDescent="0.2">
      <c r="A289" s="83"/>
      <c r="B289" s="84"/>
      <c r="C289" s="5"/>
      <c r="D289" s="5"/>
    </row>
    <row r="290" spans="1:4" x14ac:dyDescent="0.2">
      <c r="A290" s="83"/>
      <c r="B290" s="84"/>
      <c r="C290" s="5"/>
      <c r="D290" s="5"/>
    </row>
    <row r="291" spans="1:4" x14ac:dyDescent="0.2">
      <c r="A291" s="83"/>
      <c r="B291" s="84"/>
      <c r="C291" s="5"/>
      <c r="D291" s="5"/>
    </row>
    <row r="292" spans="1:4" x14ac:dyDescent="0.2">
      <c r="A292" s="83"/>
      <c r="B292" s="84"/>
      <c r="C292" s="5"/>
      <c r="D292" s="5"/>
    </row>
    <row r="293" spans="1:4" x14ac:dyDescent="0.2">
      <c r="A293" s="83"/>
      <c r="B293" s="84"/>
      <c r="C293" s="5"/>
      <c r="D293" s="5"/>
    </row>
    <row r="294" spans="1:4" x14ac:dyDescent="0.2">
      <c r="A294" s="83"/>
      <c r="B294" s="84"/>
      <c r="C294" s="5"/>
      <c r="D294" s="5"/>
    </row>
    <row r="295" spans="1:4" x14ac:dyDescent="0.2">
      <c r="A295" s="83"/>
      <c r="B295" s="84"/>
      <c r="C295" s="5"/>
      <c r="D295" s="5"/>
    </row>
    <row r="296" spans="1:4" x14ac:dyDescent="0.2">
      <c r="A296" s="83"/>
      <c r="B296" s="84"/>
      <c r="C296" s="5"/>
      <c r="D296" s="5"/>
    </row>
    <row r="297" spans="1:4" x14ac:dyDescent="0.2">
      <c r="A297" s="83"/>
      <c r="B297" s="84"/>
      <c r="C297" s="5"/>
      <c r="D297" s="5"/>
    </row>
    <row r="298" spans="1:4" x14ac:dyDescent="0.2">
      <c r="A298" s="83"/>
      <c r="B298" s="84"/>
      <c r="C298" s="5"/>
      <c r="D298" s="5"/>
    </row>
    <row r="299" spans="1:4" x14ac:dyDescent="0.2">
      <c r="A299" s="83"/>
      <c r="B299" s="84"/>
      <c r="C299" s="5"/>
      <c r="D299" s="5"/>
    </row>
    <row r="300" spans="1:4" x14ac:dyDescent="0.2">
      <c r="A300" s="83"/>
      <c r="B300" s="84"/>
      <c r="C300" s="5"/>
      <c r="D300" s="5"/>
    </row>
    <row r="301" spans="1:4" x14ac:dyDescent="0.2">
      <c r="A301" s="83"/>
      <c r="B301" s="84"/>
      <c r="C301" s="5"/>
      <c r="D301" s="5"/>
    </row>
    <row r="302" spans="1:4" x14ac:dyDescent="0.2">
      <c r="A302" s="83"/>
      <c r="B302" s="84"/>
      <c r="C302" s="5"/>
      <c r="D302" s="5"/>
    </row>
    <row r="303" spans="1:4" x14ac:dyDescent="0.2">
      <c r="A303" s="83"/>
      <c r="B303" s="84"/>
      <c r="C303" s="5"/>
      <c r="D303" s="5"/>
    </row>
    <row r="304" spans="1:4" x14ac:dyDescent="0.2">
      <c r="A304" s="83"/>
      <c r="B304" s="84"/>
      <c r="C304" s="5"/>
      <c r="D304" s="5"/>
    </row>
    <row r="305" spans="1:4" x14ac:dyDescent="0.2">
      <c r="A305" s="83"/>
      <c r="B305" s="84"/>
      <c r="C305" s="5"/>
      <c r="D305" s="5"/>
    </row>
    <row r="306" spans="1:4" x14ac:dyDescent="0.2">
      <c r="A306" s="83"/>
      <c r="B306" s="84"/>
      <c r="C306" s="5"/>
      <c r="D306" s="5"/>
    </row>
    <row r="307" spans="1:4" x14ac:dyDescent="0.2">
      <c r="A307" s="83"/>
      <c r="B307" s="84"/>
      <c r="C307" s="5"/>
      <c r="D307" s="5"/>
    </row>
    <row r="308" spans="1:4" x14ac:dyDescent="0.2">
      <c r="A308" s="83"/>
      <c r="B308" s="84"/>
      <c r="C308" s="5"/>
      <c r="D308" s="5"/>
    </row>
    <row r="309" spans="1:4" x14ac:dyDescent="0.2">
      <c r="A309" s="83"/>
      <c r="B309" s="84"/>
      <c r="C309" s="5"/>
      <c r="D309" s="5"/>
    </row>
    <row r="310" spans="1:4" x14ac:dyDescent="0.2">
      <c r="A310" s="83"/>
      <c r="B310" s="84"/>
      <c r="C310" s="5"/>
      <c r="D310" s="5"/>
    </row>
    <row r="311" spans="1:4" x14ac:dyDescent="0.2">
      <c r="A311" s="83"/>
      <c r="B311" s="84"/>
      <c r="C311" s="5"/>
      <c r="D311" s="5"/>
    </row>
    <row r="312" spans="1:4" x14ac:dyDescent="0.2">
      <c r="A312" s="83"/>
      <c r="B312" s="84"/>
      <c r="C312" s="5"/>
      <c r="D312" s="5"/>
    </row>
    <row r="313" spans="1:4" x14ac:dyDescent="0.2">
      <c r="A313" s="83"/>
      <c r="B313" s="84"/>
      <c r="C313" s="5"/>
      <c r="D313" s="5"/>
    </row>
    <row r="314" spans="1:4" x14ac:dyDescent="0.2">
      <c r="A314" s="83"/>
      <c r="B314" s="84"/>
      <c r="C314" s="5"/>
      <c r="D314" s="5"/>
    </row>
    <row r="315" spans="1:4" x14ac:dyDescent="0.2">
      <c r="A315" s="83"/>
      <c r="B315" s="84"/>
      <c r="C315" s="5"/>
      <c r="D315" s="5"/>
    </row>
    <row r="316" spans="1:4" x14ac:dyDescent="0.2">
      <c r="A316" s="83"/>
      <c r="B316" s="84"/>
      <c r="C316" s="5"/>
      <c r="D316" s="5"/>
    </row>
    <row r="317" spans="1:4" x14ac:dyDescent="0.2">
      <c r="A317" s="83"/>
      <c r="B317" s="84"/>
      <c r="C317" s="5"/>
      <c r="D317" s="5"/>
    </row>
    <row r="318" spans="1:4" x14ac:dyDescent="0.2">
      <c r="A318" s="83"/>
      <c r="B318" s="84"/>
      <c r="C318" s="5"/>
      <c r="D318" s="5"/>
    </row>
    <row r="319" spans="1:4" x14ac:dyDescent="0.2">
      <c r="A319" s="83"/>
      <c r="B319" s="84"/>
      <c r="C319" s="5"/>
      <c r="D319" s="5"/>
    </row>
    <row r="320" spans="1:4" x14ac:dyDescent="0.2">
      <c r="A320" s="83"/>
      <c r="B320" s="84"/>
      <c r="C320" s="5"/>
      <c r="D320" s="5"/>
    </row>
    <row r="321" spans="1:4" x14ac:dyDescent="0.2">
      <c r="A321" s="83"/>
      <c r="B321" s="84"/>
      <c r="C321" s="5"/>
      <c r="D321" s="5"/>
    </row>
    <row r="322" spans="1:4" x14ac:dyDescent="0.2">
      <c r="A322" s="83"/>
      <c r="B322" s="84"/>
      <c r="C322" s="5"/>
      <c r="D322" s="5"/>
    </row>
    <row r="323" spans="1:4" x14ac:dyDescent="0.2">
      <c r="A323" s="83"/>
      <c r="B323" s="84"/>
      <c r="C323" s="5"/>
      <c r="D323" s="5"/>
    </row>
    <row r="324" spans="1:4" x14ac:dyDescent="0.2">
      <c r="A324" s="83"/>
      <c r="B324" s="84"/>
      <c r="C324" s="5"/>
      <c r="D324" s="5"/>
    </row>
    <row r="325" spans="1:4" x14ac:dyDescent="0.2">
      <c r="A325" s="83"/>
      <c r="B325" s="84"/>
      <c r="C325" s="5"/>
      <c r="D325" s="5"/>
    </row>
    <row r="326" spans="1:4" x14ac:dyDescent="0.2">
      <c r="A326" s="83"/>
      <c r="B326" s="84"/>
      <c r="C326" s="5"/>
      <c r="D326" s="5"/>
    </row>
    <row r="327" spans="1:4" x14ac:dyDescent="0.2">
      <c r="A327" s="83"/>
      <c r="B327" s="84"/>
      <c r="C327" s="5"/>
      <c r="D327" s="5"/>
    </row>
    <row r="328" spans="1:4" x14ac:dyDescent="0.2">
      <c r="A328" s="83"/>
      <c r="B328" s="84"/>
      <c r="C328" s="5"/>
      <c r="D328" s="5"/>
    </row>
    <row r="329" spans="1:4" x14ac:dyDescent="0.2">
      <c r="A329" s="83"/>
      <c r="B329" s="84"/>
      <c r="C329" s="5"/>
      <c r="D329" s="5"/>
    </row>
    <row r="330" spans="1:4" x14ac:dyDescent="0.2">
      <c r="A330" s="83"/>
      <c r="B330" s="84"/>
      <c r="C330" s="5"/>
      <c r="D330" s="5"/>
    </row>
    <row r="331" spans="1:4" x14ac:dyDescent="0.2">
      <c r="A331" s="83"/>
      <c r="B331" s="84"/>
      <c r="C331" s="5"/>
      <c r="D331" s="5"/>
    </row>
    <row r="332" spans="1:4" x14ac:dyDescent="0.2">
      <c r="A332" s="83"/>
      <c r="B332" s="84"/>
      <c r="C332" s="5"/>
      <c r="D332" s="5"/>
    </row>
    <row r="333" spans="1:4" x14ac:dyDescent="0.2">
      <c r="A333" s="83"/>
      <c r="B333" s="84"/>
      <c r="C333" s="5"/>
      <c r="D333" s="5"/>
    </row>
    <row r="334" spans="1:4" x14ac:dyDescent="0.2">
      <c r="A334" s="83"/>
      <c r="B334" s="84"/>
      <c r="C334" s="5"/>
      <c r="D334" s="5"/>
    </row>
    <row r="335" spans="1:4" x14ac:dyDescent="0.2">
      <c r="A335" s="83"/>
      <c r="B335" s="84"/>
      <c r="C335" s="5"/>
      <c r="D335" s="5"/>
    </row>
    <row r="336" spans="1:4" x14ac:dyDescent="0.2">
      <c r="A336" s="83"/>
      <c r="B336" s="84"/>
      <c r="C336" s="5"/>
      <c r="D336" s="5"/>
    </row>
    <row r="337" spans="1:4" x14ac:dyDescent="0.2">
      <c r="A337" s="83"/>
      <c r="B337" s="84"/>
      <c r="C337" s="5"/>
      <c r="D337" s="5"/>
    </row>
    <row r="338" spans="1:4" x14ac:dyDescent="0.2">
      <c r="A338" s="83"/>
      <c r="B338" s="84"/>
      <c r="C338" s="5"/>
      <c r="D338" s="5"/>
    </row>
    <row r="339" spans="1:4" x14ac:dyDescent="0.2">
      <c r="A339" s="83"/>
      <c r="B339" s="84"/>
      <c r="C339" s="5"/>
      <c r="D339" s="5"/>
    </row>
    <row r="340" spans="1:4" x14ac:dyDescent="0.2">
      <c r="A340" s="83"/>
      <c r="B340" s="84"/>
      <c r="C340" s="5"/>
      <c r="D340" s="5"/>
    </row>
    <row r="341" spans="1:4" x14ac:dyDescent="0.2">
      <c r="A341" s="83"/>
      <c r="B341" s="84"/>
      <c r="C341" s="5"/>
      <c r="D341" s="5"/>
    </row>
    <row r="342" spans="1:4" x14ac:dyDescent="0.2">
      <c r="A342" s="83"/>
      <c r="B342" s="84"/>
      <c r="C342" s="5"/>
      <c r="D342" s="5"/>
    </row>
    <row r="343" spans="1:4" x14ac:dyDescent="0.2">
      <c r="A343" s="83"/>
      <c r="B343" s="84"/>
      <c r="C343" s="5"/>
      <c r="D343" s="5"/>
    </row>
    <row r="344" spans="1:4" x14ac:dyDescent="0.2">
      <c r="A344" s="83"/>
      <c r="B344" s="84"/>
      <c r="C344" s="5"/>
      <c r="D344" s="5"/>
    </row>
    <row r="345" spans="1:4" x14ac:dyDescent="0.2">
      <c r="A345" s="83"/>
      <c r="B345" s="84"/>
      <c r="C345" s="5"/>
      <c r="D345" s="5"/>
    </row>
    <row r="346" spans="1:4" x14ac:dyDescent="0.2">
      <c r="A346" s="83"/>
      <c r="B346" s="84"/>
      <c r="C346" s="5"/>
      <c r="D346" s="5"/>
    </row>
    <row r="347" spans="1:4" x14ac:dyDescent="0.2">
      <c r="A347" s="83"/>
      <c r="B347" s="84"/>
      <c r="C347" s="5"/>
      <c r="D347" s="5"/>
    </row>
    <row r="348" spans="1:4" x14ac:dyDescent="0.2">
      <c r="A348" s="83"/>
      <c r="B348" s="84"/>
      <c r="C348" s="5"/>
      <c r="D348" s="5"/>
    </row>
    <row r="349" spans="1:4" x14ac:dyDescent="0.2">
      <c r="A349" s="83"/>
      <c r="B349" s="84"/>
      <c r="C349" s="5"/>
      <c r="D349" s="5"/>
    </row>
    <row r="350" spans="1:4" x14ac:dyDescent="0.2">
      <c r="A350" s="83"/>
      <c r="B350" s="84"/>
      <c r="C350" s="5"/>
      <c r="D350" s="5"/>
    </row>
    <row r="351" spans="1:4" x14ac:dyDescent="0.2">
      <c r="A351" s="83"/>
      <c r="B351" s="84"/>
      <c r="C351" s="5"/>
      <c r="D351" s="5"/>
    </row>
    <row r="352" spans="1:4" x14ac:dyDescent="0.2">
      <c r="A352" s="83"/>
      <c r="B352" s="84"/>
      <c r="C352" s="5"/>
      <c r="D352" s="5"/>
    </row>
    <row r="353" spans="1:4" x14ac:dyDescent="0.2">
      <c r="A353" s="83"/>
      <c r="B353" s="84"/>
      <c r="C353" s="5"/>
      <c r="D353" s="5"/>
    </row>
    <row r="354" spans="1:4" x14ac:dyDescent="0.2">
      <c r="A354" s="83"/>
      <c r="B354" s="84"/>
      <c r="C354" s="5"/>
      <c r="D354" s="5"/>
    </row>
    <row r="355" spans="1:4" x14ac:dyDescent="0.2">
      <c r="A355" s="83"/>
      <c r="B355" s="84"/>
      <c r="C355" s="5"/>
      <c r="D355" s="5"/>
    </row>
    <row r="356" spans="1:4" x14ac:dyDescent="0.2">
      <c r="A356" s="83"/>
      <c r="B356" s="84"/>
      <c r="C356" s="5"/>
      <c r="D356" s="5"/>
    </row>
    <row r="357" spans="1:4" x14ac:dyDescent="0.2">
      <c r="A357" s="83"/>
      <c r="B357" s="84"/>
      <c r="C357" s="5"/>
      <c r="D357" s="5"/>
    </row>
    <row r="358" spans="1:4" x14ac:dyDescent="0.2">
      <c r="A358" s="83"/>
      <c r="B358" s="84"/>
      <c r="C358" s="5"/>
      <c r="D358" s="5"/>
    </row>
    <row r="359" spans="1:4" x14ac:dyDescent="0.2">
      <c r="A359" s="83"/>
      <c r="B359" s="84"/>
      <c r="C359" s="5"/>
      <c r="D359" s="5"/>
    </row>
    <row r="360" spans="1:4" x14ac:dyDescent="0.2">
      <c r="A360" s="83"/>
      <c r="B360" s="84"/>
      <c r="C360" s="5"/>
      <c r="D360" s="5"/>
    </row>
    <row r="361" spans="1:4" x14ac:dyDescent="0.2">
      <c r="A361" s="83"/>
      <c r="B361" s="84"/>
      <c r="C361" s="5"/>
      <c r="D361" s="5"/>
    </row>
    <row r="362" spans="1:4" x14ac:dyDescent="0.2">
      <c r="A362" s="83"/>
      <c r="B362" s="84"/>
      <c r="C362" s="5"/>
      <c r="D362" s="5"/>
    </row>
    <row r="363" spans="1:4" x14ac:dyDescent="0.2">
      <c r="A363" s="83"/>
      <c r="B363" s="84"/>
      <c r="C363" s="5"/>
      <c r="D363" s="5"/>
    </row>
    <row r="364" spans="1:4" x14ac:dyDescent="0.2">
      <c r="A364" s="83"/>
      <c r="B364" s="84"/>
      <c r="C364" s="5"/>
      <c r="D364" s="5"/>
    </row>
    <row r="365" spans="1:4" x14ac:dyDescent="0.2">
      <c r="A365" s="83"/>
      <c r="B365" s="84"/>
      <c r="C365" s="5"/>
      <c r="D365" s="5"/>
    </row>
    <row r="366" spans="1:4" x14ac:dyDescent="0.2">
      <c r="A366" s="83"/>
      <c r="B366" s="84"/>
      <c r="C366" s="5"/>
      <c r="D366" s="5"/>
    </row>
    <row r="367" spans="1:4" x14ac:dyDescent="0.2">
      <c r="A367" s="83"/>
      <c r="B367" s="84"/>
      <c r="C367" s="5"/>
      <c r="D367" s="5"/>
    </row>
    <row r="368" spans="1:4" x14ac:dyDescent="0.2">
      <c r="A368" s="83"/>
      <c r="B368" s="84"/>
      <c r="C368" s="5"/>
      <c r="D368" s="5"/>
    </row>
    <row r="369" spans="1:4" x14ac:dyDescent="0.2">
      <c r="A369" s="83"/>
      <c r="B369" s="84"/>
      <c r="C369" s="5"/>
      <c r="D369" s="5"/>
    </row>
    <row r="370" spans="1:4" x14ac:dyDescent="0.2">
      <c r="A370" s="83"/>
      <c r="B370" s="84"/>
      <c r="C370" s="5"/>
      <c r="D370" s="5"/>
    </row>
    <row r="371" spans="1:4" x14ac:dyDescent="0.2">
      <c r="A371" s="83"/>
      <c r="B371" s="84"/>
      <c r="C371" s="5"/>
      <c r="D371" s="5"/>
    </row>
    <row r="372" spans="1:4" x14ac:dyDescent="0.2">
      <c r="A372" s="83"/>
      <c r="B372" s="84"/>
      <c r="C372" s="5"/>
      <c r="D372" s="5"/>
    </row>
    <row r="373" spans="1:4" x14ac:dyDescent="0.2">
      <c r="A373" s="83"/>
      <c r="B373" s="84"/>
      <c r="C373" s="5"/>
      <c r="D373" s="5"/>
    </row>
    <row r="374" spans="1:4" x14ac:dyDescent="0.2">
      <c r="A374" s="83"/>
      <c r="B374" s="84"/>
      <c r="C374" s="5"/>
      <c r="D374" s="5"/>
    </row>
    <row r="375" spans="1:4" x14ac:dyDescent="0.2">
      <c r="A375" s="83"/>
      <c r="B375" s="84"/>
      <c r="C375" s="5"/>
      <c r="D375" s="5"/>
    </row>
    <row r="376" spans="1:4" x14ac:dyDescent="0.2">
      <c r="A376" s="83"/>
      <c r="B376" s="84"/>
      <c r="C376" s="5"/>
      <c r="D376" s="5"/>
    </row>
    <row r="377" spans="1:4" x14ac:dyDescent="0.2">
      <c r="A377" s="83"/>
      <c r="B377" s="84"/>
      <c r="C377" s="5"/>
      <c r="D377" s="5"/>
    </row>
    <row r="378" spans="1:4" x14ac:dyDescent="0.2">
      <c r="A378" s="83"/>
      <c r="B378" s="84"/>
      <c r="C378" s="5"/>
      <c r="D378" s="5"/>
    </row>
    <row r="379" spans="1:4" x14ac:dyDescent="0.2">
      <c r="A379" s="83"/>
      <c r="B379" s="84"/>
      <c r="C379" s="5"/>
      <c r="D379" s="5"/>
    </row>
    <row r="380" spans="1:4" x14ac:dyDescent="0.2">
      <c r="A380" s="83"/>
      <c r="B380" s="84"/>
      <c r="C380" s="5"/>
      <c r="D380" s="5"/>
    </row>
    <row r="381" spans="1:4" x14ac:dyDescent="0.2">
      <c r="A381" s="83"/>
      <c r="B381" s="84"/>
      <c r="C381" s="5"/>
      <c r="D381" s="5"/>
    </row>
    <row r="382" spans="1:4" x14ac:dyDescent="0.2">
      <c r="A382" s="83"/>
      <c r="B382" s="84"/>
      <c r="C382" s="5"/>
      <c r="D382" s="5"/>
    </row>
    <row r="383" spans="1:4" x14ac:dyDescent="0.2">
      <c r="A383" s="83"/>
      <c r="B383" s="84"/>
      <c r="C383" s="5"/>
      <c r="D383" s="5"/>
    </row>
    <row r="384" spans="1:4" x14ac:dyDescent="0.2">
      <c r="A384" s="83"/>
      <c r="B384" s="84"/>
      <c r="C384" s="5"/>
      <c r="D384" s="5"/>
    </row>
    <row r="385" spans="1:4" x14ac:dyDescent="0.2">
      <c r="A385" s="83"/>
      <c r="B385" s="84"/>
      <c r="C385" s="5"/>
      <c r="D385" s="5"/>
    </row>
    <row r="386" spans="1:4" x14ac:dyDescent="0.2">
      <c r="A386" s="83"/>
      <c r="B386" s="84"/>
      <c r="C386" s="5"/>
      <c r="D386" s="5"/>
    </row>
    <row r="387" spans="1:4" x14ac:dyDescent="0.2">
      <c r="A387" s="83"/>
      <c r="B387" s="84"/>
      <c r="C387" s="5"/>
      <c r="D387" s="5"/>
    </row>
    <row r="388" spans="1:4" x14ac:dyDescent="0.2">
      <c r="A388" s="83"/>
      <c r="B388" s="84"/>
      <c r="C388" s="5"/>
      <c r="D388" s="5"/>
    </row>
    <row r="389" spans="1:4" x14ac:dyDescent="0.2">
      <c r="A389" s="83"/>
      <c r="B389" s="84"/>
      <c r="C389" s="5"/>
      <c r="D389" s="5"/>
    </row>
    <row r="390" spans="1:4" x14ac:dyDescent="0.2">
      <c r="A390" s="83"/>
      <c r="B390" s="84"/>
      <c r="C390" s="5"/>
      <c r="D390" s="5"/>
    </row>
    <row r="391" spans="1:4" x14ac:dyDescent="0.2">
      <c r="A391" s="83"/>
      <c r="B391" s="84"/>
      <c r="C391" s="5"/>
      <c r="D391" s="5"/>
    </row>
    <row r="392" spans="1:4" x14ac:dyDescent="0.2">
      <c r="A392" s="83"/>
      <c r="B392" s="84"/>
      <c r="C392" s="5"/>
      <c r="D392" s="5"/>
    </row>
    <row r="393" spans="1:4" x14ac:dyDescent="0.2">
      <c r="A393" s="83"/>
      <c r="B393" s="84"/>
      <c r="C393" s="5"/>
      <c r="D393" s="5"/>
    </row>
    <row r="394" spans="1:4" x14ac:dyDescent="0.2">
      <c r="A394" s="83"/>
      <c r="B394" s="84"/>
      <c r="C394" s="5"/>
      <c r="D394" s="5"/>
    </row>
    <row r="395" spans="1:4" x14ac:dyDescent="0.2">
      <c r="A395" s="83"/>
      <c r="B395" s="84"/>
      <c r="C395" s="5"/>
      <c r="D395" s="5"/>
    </row>
    <row r="396" spans="1:4" x14ac:dyDescent="0.2">
      <c r="A396" s="83"/>
      <c r="B396" s="84"/>
      <c r="C396" s="5"/>
      <c r="D396" s="5"/>
    </row>
    <row r="397" spans="1:4" x14ac:dyDescent="0.2">
      <c r="A397" s="83"/>
      <c r="B397" s="84"/>
      <c r="C397" s="5"/>
      <c r="D397" s="5"/>
    </row>
    <row r="398" spans="1:4" x14ac:dyDescent="0.2">
      <c r="A398" s="83"/>
      <c r="B398" s="84"/>
      <c r="C398" s="5"/>
      <c r="D398" s="5"/>
    </row>
    <row r="399" spans="1:4" x14ac:dyDescent="0.2">
      <c r="A399" s="83"/>
      <c r="B399" s="84"/>
      <c r="C399" s="5"/>
      <c r="D399" s="5"/>
    </row>
    <row r="400" spans="1:4" x14ac:dyDescent="0.2">
      <c r="A400" s="83"/>
      <c r="B400" s="84"/>
      <c r="C400" s="5"/>
      <c r="D400" s="5"/>
    </row>
    <row r="401" spans="1:4" x14ac:dyDescent="0.2">
      <c r="A401" s="83"/>
      <c r="B401" s="84"/>
      <c r="C401" s="5"/>
      <c r="D401" s="5"/>
    </row>
    <row r="402" spans="1:4" x14ac:dyDescent="0.2">
      <c r="A402" s="83"/>
      <c r="B402" s="84"/>
      <c r="C402" s="5"/>
      <c r="D402" s="5"/>
    </row>
    <row r="403" spans="1:4" x14ac:dyDescent="0.2">
      <c r="A403" s="83"/>
      <c r="B403" s="84"/>
      <c r="C403" s="5"/>
      <c r="D403" s="5"/>
    </row>
    <row r="404" spans="1:4" x14ac:dyDescent="0.2">
      <c r="A404" s="83"/>
      <c r="B404" s="84"/>
      <c r="C404" s="5"/>
      <c r="D404" s="5"/>
    </row>
    <row r="405" spans="1:4" x14ac:dyDescent="0.2">
      <c r="A405" s="83"/>
      <c r="B405" s="84"/>
      <c r="C405" s="5"/>
      <c r="D405" s="5"/>
    </row>
    <row r="406" spans="1:4" x14ac:dyDescent="0.2">
      <c r="A406" s="83"/>
      <c r="B406" s="84"/>
      <c r="C406" s="5"/>
      <c r="D406" s="5"/>
    </row>
    <row r="407" spans="1:4" x14ac:dyDescent="0.2">
      <c r="A407" s="83"/>
      <c r="B407" s="84"/>
      <c r="C407" s="5"/>
      <c r="D407" s="5"/>
    </row>
    <row r="408" spans="1:4" x14ac:dyDescent="0.2">
      <c r="A408" s="83"/>
      <c r="B408" s="84"/>
      <c r="C408" s="5"/>
      <c r="D408" s="5"/>
    </row>
    <row r="409" spans="1:4" x14ac:dyDescent="0.2">
      <c r="A409" s="83"/>
      <c r="B409" s="84"/>
      <c r="C409" s="5"/>
      <c r="D409" s="5"/>
    </row>
    <row r="410" spans="1:4" x14ac:dyDescent="0.2">
      <c r="A410" s="83"/>
      <c r="B410" s="84"/>
      <c r="C410" s="5"/>
      <c r="D410" s="5"/>
    </row>
    <row r="411" spans="1:4" x14ac:dyDescent="0.2">
      <c r="A411" s="83"/>
      <c r="B411" s="84"/>
      <c r="C411" s="5"/>
      <c r="D411" s="5"/>
    </row>
    <row r="412" spans="1:4" x14ac:dyDescent="0.2">
      <c r="A412" s="83"/>
      <c r="B412" s="84"/>
      <c r="C412" s="5"/>
      <c r="D412" s="5"/>
    </row>
    <row r="413" spans="1:4" x14ac:dyDescent="0.2">
      <c r="A413" s="83"/>
      <c r="B413" s="84"/>
      <c r="C413" s="5"/>
      <c r="D413" s="5"/>
    </row>
    <row r="414" spans="1:4" x14ac:dyDescent="0.2">
      <c r="A414" s="83"/>
      <c r="B414" s="84"/>
      <c r="C414" s="5"/>
      <c r="D414" s="5"/>
    </row>
    <row r="415" spans="1:4" x14ac:dyDescent="0.2">
      <c r="A415" s="83"/>
      <c r="B415" s="84"/>
      <c r="C415" s="5"/>
      <c r="D415" s="5"/>
    </row>
    <row r="416" spans="1:4" x14ac:dyDescent="0.2">
      <c r="A416" s="83"/>
      <c r="B416" s="84"/>
      <c r="C416" s="5"/>
      <c r="D416" s="5"/>
    </row>
    <row r="417" spans="1:4" x14ac:dyDescent="0.2">
      <c r="A417" s="83"/>
      <c r="B417" s="84"/>
      <c r="C417" s="5"/>
      <c r="D417" s="5"/>
    </row>
    <row r="418" spans="1:4" x14ac:dyDescent="0.2">
      <c r="A418" s="83"/>
      <c r="B418" s="84"/>
      <c r="C418" s="5"/>
      <c r="D418" s="5"/>
    </row>
    <row r="419" spans="1:4" x14ac:dyDescent="0.2">
      <c r="A419" s="83"/>
      <c r="B419" s="84"/>
      <c r="C419" s="5"/>
      <c r="D419" s="5"/>
    </row>
    <row r="420" spans="1:4" x14ac:dyDescent="0.2">
      <c r="A420" s="83"/>
      <c r="B420" s="84"/>
      <c r="C420" s="5"/>
      <c r="D420" s="5"/>
    </row>
    <row r="421" spans="1:4" x14ac:dyDescent="0.2">
      <c r="A421" s="83"/>
      <c r="B421" s="84"/>
      <c r="C421" s="5"/>
      <c r="D421" s="5"/>
    </row>
    <row r="422" spans="1:4" x14ac:dyDescent="0.2">
      <c r="A422" s="83"/>
      <c r="B422" s="84"/>
      <c r="C422" s="5"/>
      <c r="D422" s="5"/>
    </row>
    <row r="423" spans="1:4" x14ac:dyDescent="0.2">
      <c r="A423" s="83"/>
      <c r="B423" s="84"/>
      <c r="C423" s="5"/>
      <c r="D423" s="5"/>
    </row>
    <row r="424" spans="1:4" x14ac:dyDescent="0.2">
      <c r="A424" s="83"/>
      <c r="B424" s="84"/>
      <c r="C424" s="5"/>
      <c r="D424" s="5"/>
    </row>
    <row r="425" spans="1:4" x14ac:dyDescent="0.2">
      <c r="A425" s="83"/>
      <c r="B425" s="84"/>
      <c r="C425" s="5"/>
      <c r="D425" s="5"/>
    </row>
    <row r="426" spans="1:4" x14ac:dyDescent="0.2">
      <c r="A426" s="83"/>
      <c r="B426" s="84"/>
      <c r="C426" s="5"/>
      <c r="D426" s="5"/>
    </row>
    <row r="427" spans="1:4" x14ac:dyDescent="0.2">
      <c r="A427" s="83"/>
      <c r="B427" s="84"/>
      <c r="C427" s="5"/>
      <c r="D427" s="5"/>
    </row>
    <row r="428" spans="1:4" x14ac:dyDescent="0.2">
      <c r="A428" s="83"/>
      <c r="B428" s="84"/>
      <c r="C428" s="5"/>
      <c r="D428" s="5"/>
    </row>
    <row r="429" spans="1:4" x14ac:dyDescent="0.2">
      <c r="A429" s="83"/>
      <c r="B429" s="84"/>
      <c r="C429" s="5"/>
      <c r="D429" s="5"/>
    </row>
    <row r="430" spans="1:4" x14ac:dyDescent="0.2">
      <c r="A430" s="83"/>
      <c r="B430" s="84"/>
      <c r="C430" s="5"/>
      <c r="D430" s="5"/>
    </row>
    <row r="431" spans="1:4" x14ac:dyDescent="0.2">
      <c r="A431" s="83"/>
      <c r="B431" s="84"/>
      <c r="C431" s="5"/>
      <c r="D431" s="5"/>
    </row>
    <row r="432" spans="1:4" x14ac:dyDescent="0.2">
      <c r="A432" s="83"/>
      <c r="B432" s="84"/>
      <c r="C432" s="5"/>
      <c r="D432" s="5"/>
    </row>
    <row r="433" spans="1:4" x14ac:dyDescent="0.2">
      <c r="A433" s="83"/>
      <c r="B433" s="84"/>
      <c r="C433" s="5"/>
      <c r="D433" s="5"/>
    </row>
    <row r="434" spans="1:4" x14ac:dyDescent="0.2">
      <c r="A434" s="83"/>
      <c r="B434" s="84"/>
      <c r="C434" s="5"/>
      <c r="D434" s="5"/>
    </row>
    <row r="435" spans="1:4" x14ac:dyDescent="0.2">
      <c r="A435" s="83"/>
      <c r="B435" s="84"/>
      <c r="C435" s="5"/>
      <c r="D435" s="5"/>
    </row>
    <row r="436" spans="1:4" x14ac:dyDescent="0.2">
      <c r="A436" s="83"/>
      <c r="B436" s="84"/>
      <c r="C436" s="5"/>
      <c r="D436" s="5"/>
    </row>
    <row r="437" spans="1:4" x14ac:dyDescent="0.2">
      <c r="A437" s="83"/>
      <c r="B437" s="84"/>
      <c r="C437" s="5"/>
      <c r="D437" s="5"/>
    </row>
    <row r="438" spans="1:4" x14ac:dyDescent="0.2">
      <c r="A438" s="83"/>
      <c r="B438" s="84"/>
      <c r="C438" s="5"/>
      <c r="D438" s="5"/>
    </row>
    <row r="439" spans="1:4" x14ac:dyDescent="0.2">
      <c r="A439" s="83"/>
      <c r="B439" s="84"/>
      <c r="C439" s="5"/>
      <c r="D439" s="5"/>
    </row>
    <row r="440" spans="1:4" x14ac:dyDescent="0.2">
      <c r="A440" s="83"/>
      <c r="B440" s="84"/>
      <c r="C440" s="5"/>
      <c r="D440" s="5"/>
    </row>
    <row r="441" spans="1:4" x14ac:dyDescent="0.2">
      <c r="A441" s="83"/>
      <c r="B441" s="84"/>
      <c r="C441" s="5"/>
      <c r="D441" s="5"/>
    </row>
    <row r="442" spans="1:4" x14ac:dyDescent="0.2">
      <c r="A442" s="83"/>
      <c r="B442" s="84"/>
      <c r="C442" s="5"/>
      <c r="D442" s="5"/>
    </row>
    <row r="443" spans="1:4" x14ac:dyDescent="0.2">
      <c r="A443" s="83"/>
      <c r="B443" s="84"/>
      <c r="C443" s="5"/>
      <c r="D443" s="5"/>
    </row>
    <row r="444" spans="1:4" x14ac:dyDescent="0.2">
      <c r="A444" s="83"/>
      <c r="B444" s="84"/>
      <c r="C444" s="5"/>
      <c r="D444" s="5"/>
    </row>
    <row r="445" spans="1:4" x14ac:dyDescent="0.2">
      <c r="A445" s="83"/>
      <c r="B445" s="84"/>
      <c r="C445" s="5"/>
      <c r="D445" s="5"/>
    </row>
    <row r="446" spans="1:4" x14ac:dyDescent="0.2">
      <c r="A446" s="83"/>
      <c r="B446" s="84"/>
      <c r="C446" s="5"/>
      <c r="D446" s="5"/>
    </row>
    <row r="447" spans="1:4" x14ac:dyDescent="0.2">
      <c r="A447" s="83"/>
      <c r="B447" s="84"/>
      <c r="C447" s="5"/>
      <c r="D447" s="5"/>
    </row>
    <row r="448" spans="1:4" x14ac:dyDescent="0.2">
      <c r="A448" s="83"/>
      <c r="B448" s="84"/>
      <c r="C448" s="5"/>
      <c r="D448" s="5"/>
    </row>
    <row r="449" spans="1:4" x14ac:dyDescent="0.2">
      <c r="A449" s="83"/>
      <c r="B449" s="84"/>
      <c r="C449" s="5"/>
      <c r="D449" s="5"/>
    </row>
    <row r="450" spans="1:4" x14ac:dyDescent="0.2">
      <c r="A450" s="83"/>
      <c r="B450" s="84"/>
      <c r="C450" s="5"/>
      <c r="D450" s="5"/>
    </row>
    <row r="451" spans="1:4" x14ac:dyDescent="0.2">
      <c r="A451" s="83"/>
      <c r="B451" s="84"/>
      <c r="C451" s="5"/>
      <c r="D451" s="5"/>
    </row>
    <row r="452" spans="1:4" x14ac:dyDescent="0.2">
      <c r="A452" s="83"/>
      <c r="B452" s="84"/>
      <c r="C452" s="5"/>
      <c r="D452" s="5"/>
    </row>
    <row r="453" spans="1:4" x14ac:dyDescent="0.2">
      <c r="A453" s="83"/>
      <c r="B453" s="84"/>
      <c r="C453" s="5"/>
      <c r="D453" s="5"/>
    </row>
    <row r="454" spans="1:4" x14ac:dyDescent="0.2">
      <c r="A454" s="83"/>
      <c r="B454" s="84"/>
      <c r="C454" s="5"/>
      <c r="D454" s="5"/>
    </row>
    <row r="455" spans="1:4" x14ac:dyDescent="0.2">
      <c r="A455" s="83"/>
      <c r="B455" s="84"/>
      <c r="C455" s="5"/>
      <c r="D455" s="5"/>
    </row>
    <row r="456" spans="1:4" x14ac:dyDescent="0.2">
      <c r="A456" s="83"/>
      <c r="B456" s="84"/>
      <c r="C456" s="5"/>
      <c r="D456" s="5"/>
    </row>
    <row r="457" spans="1:4" x14ac:dyDescent="0.2">
      <c r="A457" s="83"/>
      <c r="B457" s="84"/>
      <c r="C457" s="5"/>
      <c r="D457" s="5"/>
    </row>
    <row r="458" spans="1:4" x14ac:dyDescent="0.2">
      <c r="A458" s="83"/>
      <c r="B458" s="84"/>
      <c r="C458" s="5"/>
      <c r="D458" s="5"/>
    </row>
    <row r="459" spans="1:4" x14ac:dyDescent="0.2">
      <c r="A459" s="83"/>
      <c r="B459" s="84"/>
      <c r="C459" s="5"/>
      <c r="D459" s="5"/>
    </row>
    <row r="460" spans="1:4" x14ac:dyDescent="0.2">
      <c r="A460" s="83"/>
      <c r="B460" s="84"/>
      <c r="C460" s="5"/>
      <c r="D460" s="5"/>
    </row>
    <row r="461" spans="1:4" x14ac:dyDescent="0.2">
      <c r="A461" s="83"/>
      <c r="B461" s="84"/>
      <c r="C461" s="5"/>
      <c r="D461" s="5"/>
    </row>
    <row r="462" spans="1:4" x14ac:dyDescent="0.2">
      <c r="A462" s="83"/>
      <c r="B462" s="84"/>
      <c r="C462" s="5"/>
      <c r="D462" s="5"/>
    </row>
    <row r="463" spans="1:4" x14ac:dyDescent="0.2">
      <c r="A463" s="83"/>
      <c r="B463" s="84"/>
      <c r="C463" s="5"/>
      <c r="D463" s="5"/>
    </row>
    <row r="464" spans="1:4" x14ac:dyDescent="0.2">
      <c r="A464" s="83"/>
      <c r="B464" s="84"/>
      <c r="C464" s="5"/>
      <c r="D464" s="5"/>
    </row>
    <row r="465" spans="1:4" x14ac:dyDescent="0.2">
      <c r="A465" s="83"/>
      <c r="B465" s="84"/>
      <c r="C465" s="5"/>
      <c r="D465" s="5"/>
    </row>
    <row r="466" spans="1:4" x14ac:dyDescent="0.2">
      <c r="A466" s="83"/>
      <c r="B466" s="84"/>
      <c r="C466" s="5"/>
      <c r="D466" s="5"/>
    </row>
    <row r="467" spans="1:4" x14ac:dyDescent="0.2">
      <c r="A467" s="83"/>
      <c r="B467" s="84"/>
      <c r="C467" s="5"/>
      <c r="D467" s="5"/>
    </row>
    <row r="468" spans="1:4" x14ac:dyDescent="0.2">
      <c r="A468" s="83"/>
      <c r="B468" s="84"/>
      <c r="C468" s="5"/>
      <c r="D468" s="5"/>
    </row>
    <row r="469" spans="1:4" x14ac:dyDescent="0.2">
      <c r="A469" s="83"/>
      <c r="B469" s="84"/>
      <c r="C469" s="5"/>
      <c r="D469" s="5"/>
    </row>
    <row r="470" spans="1:4" x14ac:dyDescent="0.2">
      <c r="A470" s="83"/>
      <c r="B470" s="84"/>
      <c r="C470" s="5"/>
      <c r="D470" s="5"/>
    </row>
    <row r="471" spans="1:4" x14ac:dyDescent="0.2">
      <c r="A471" s="83"/>
      <c r="B471" s="84"/>
      <c r="C471" s="5"/>
      <c r="D471" s="5"/>
    </row>
    <row r="472" spans="1:4" x14ac:dyDescent="0.2">
      <c r="A472" s="83"/>
      <c r="B472" s="84"/>
      <c r="C472" s="5"/>
      <c r="D472" s="5"/>
    </row>
    <row r="473" spans="1:4" x14ac:dyDescent="0.2">
      <c r="A473" s="83"/>
      <c r="B473" s="84"/>
      <c r="C473" s="5"/>
      <c r="D473" s="5"/>
    </row>
    <row r="474" spans="1:4" x14ac:dyDescent="0.2">
      <c r="A474" s="83"/>
      <c r="B474" s="84"/>
      <c r="C474" s="5"/>
      <c r="D474" s="5"/>
    </row>
    <row r="475" spans="1:4" x14ac:dyDescent="0.2">
      <c r="A475" s="83"/>
      <c r="B475" s="84"/>
      <c r="C475" s="5"/>
      <c r="D475" s="5"/>
    </row>
    <row r="476" spans="1:4" x14ac:dyDescent="0.2">
      <c r="A476" s="83"/>
      <c r="B476" s="84"/>
      <c r="C476" s="5"/>
      <c r="D476" s="5"/>
    </row>
    <row r="477" spans="1:4" x14ac:dyDescent="0.2">
      <c r="A477" s="83"/>
      <c r="B477" s="84"/>
      <c r="C477" s="5"/>
      <c r="D477" s="5"/>
    </row>
    <row r="478" spans="1:4" x14ac:dyDescent="0.2">
      <c r="A478" s="83"/>
      <c r="B478" s="84"/>
      <c r="C478" s="5"/>
      <c r="D478" s="5"/>
    </row>
    <row r="479" spans="1:4" x14ac:dyDescent="0.2">
      <c r="A479" s="83"/>
      <c r="B479" s="84"/>
      <c r="C479" s="5"/>
      <c r="D479" s="5"/>
    </row>
    <row r="480" spans="1:4" x14ac:dyDescent="0.2">
      <c r="A480" s="83"/>
      <c r="B480" s="84"/>
      <c r="C480" s="5"/>
      <c r="D480" s="5"/>
    </row>
    <row r="481" spans="1:4" x14ac:dyDescent="0.2">
      <c r="A481" s="83"/>
      <c r="B481" s="84"/>
      <c r="C481" s="5"/>
      <c r="D481" s="5"/>
    </row>
    <row r="482" spans="1:4" x14ac:dyDescent="0.2">
      <c r="A482" s="83"/>
      <c r="B482" s="84"/>
      <c r="C482" s="5"/>
      <c r="D482" s="5"/>
    </row>
    <row r="483" spans="1:4" x14ac:dyDescent="0.2">
      <c r="A483" s="83"/>
      <c r="B483" s="84"/>
      <c r="C483" s="5"/>
      <c r="D483" s="5"/>
    </row>
    <row r="484" spans="1:4" x14ac:dyDescent="0.2">
      <c r="A484" s="83"/>
      <c r="B484" s="84"/>
      <c r="C484" s="5"/>
      <c r="D484" s="5"/>
    </row>
    <row r="485" spans="1:4" x14ac:dyDescent="0.2">
      <c r="A485" s="83"/>
      <c r="B485" s="84"/>
      <c r="C485" s="5"/>
      <c r="D485" s="5"/>
    </row>
    <row r="486" spans="1:4" x14ac:dyDescent="0.2">
      <c r="A486" s="83"/>
      <c r="B486" s="84"/>
      <c r="C486" s="5"/>
      <c r="D486" s="5"/>
    </row>
    <row r="487" spans="1:4" x14ac:dyDescent="0.2">
      <c r="A487" s="83"/>
      <c r="B487" s="84"/>
      <c r="C487" s="5"/>
      <c r="D487" s="5"/>
    </row>
    <row r="488" spans="1:4" x14ac:dyDescent="0.2">
      <c r="A488" s="83"/>
      <c r="B488" s="84"/>
      <c r="C488" s="5"/>
      <c r="D488" s="5"/>
    </row>
    <row r="489" spans="1:4" x14ac:dyDescent="0.2">
      <c r="A489" s="83"/>
      <c r="B489" s="84"/>
      <c r="C489" s="5"/>
      <c r="D489" s="5"/>
    </row>
    <row r="490" spans="1:4" x14ac:dyDescent="0.2">
      <c r="A490" s="83"/>
      <c r="B490" s="84"/>
      <c r="C490" s="5"/>
      <c r="D490" s="5"/>
    </row>
    <row r="491" spans="1:4" x14ac:dyDescent="0.2">
      <c r="A491" s="83"/>
      <c r="B491" s="84"/>
      <c r="C491" s="5"/>
      <c r="D491" s="5"/>
    </row>
    <row r="492" spans="1:4" x14ac:dyDescent="0.2">
      <c r="A492" s="83"/>
      <c r="B492" s="84"/>
      <c r="C492" s="5"/>
      <c r="D492" s="5"/>
    </row>
    <row r="493" spans="1:4" x14ac:dyDescent="0.2">
      <c r="A493" s="83"/>
      <c r="B493" s="84"/>
      <c r="C493" s="5"/>
      <c r="D493" s="5"/>
    </row>
    <row r="494" spans="1:4" x14ac:dyDescent="0.2">
      <c r="A494" s="83"/>
      <c r="B494" s="84"/>
      <c r="C494" s="5"/>
      <c r="D494" s="5"/>
    </row>
    <row r="495" spans="1:4" x14ac:dyDescent="0.2">
      <c r="A495" s="83"/>
      <c r="B495" s="84"/>
      <c r="C495" s="5"/>
      <c r="D495" s="5"/>
    </row>
    <row r="496" spans="1:4" x14ac:dyDescent="0.2">
      <c r="A496" s="83"/>
      <c r="B496" s="84"/>
      <c r="C496" s="5"/>
      <c r="D496" s="5"/>
    </row>
    <row r="497" spans="1:4" x14ac:dyDescent="0.2">
      <c r="A497" s="83"/>
      <c r="B497" s="84"/>
      <c r="C497" s="5"/>
      <c r="D497" s="5"/>
    </row>
    <row r="498" spans="1:4" x14ac:dyDescent="0.2">
      <c r="A498" s="83"/>
      <c r="B498" s="84"/>
      <c r="C498" s="5"/>
      <c r="D498" s="5"/>
    </row>
    <row r="499" spans="1:4" x14ac:dyDescent="0.2">
      <c r="A499" s="83"/>
      <c r="B499" s="84"/>
      <c r="C499" s="5"/>
      <c r="D499" s="5"/>
    </row>
    <row r="500" spans="1:4" x14ac:dyDescent="0.2">
      <c r="A500" s="83"/>
      <c r="B500" s="84"/>
      <c r="C500" s="5"/>
      <c r="D500" s="5"/>
    </row>
    <row r="501" spans="1:4" x14ac:dyDescent="0.2">
      <c r="A501" s="83"/>
      <c r="B501" s="84"/>
      <c r="C501" s="5"/>
      <c r="D501" s="5"/>
    </row>
    <row r="502" spans="1:4" x14ac:dyDescent="0.2">
      <c r="A502" s="83"/>
      <c r="B502" s="84"/>
      <c r="C502" s="5"/>
      <c r="D502" s="5"/>
    </row>
    <row r="503" spans="1:4" x14ac:dyDescent="0.2">
      <c r="A503" s="83"/>
      <c r="B503" s="84"/>
      <c r="C503" s="5"/>
      <c r="D503" s="5"/>
    </row>
    <row r="504" spans="1:4" x14ac:dyDescent="0.2">
      <c r="A504" s="83"/>
      <c r="B504" s="84"/>
      <c r="C504" s="5"/>
      <c r="D504" s="5"/>
    </row>
    <row r="505" spans="1:4" x14ac:dyDescent="0.2">
      <c r="A505" s="83"/>
      <c r="B505" s="84"/>
      <c r="C505" s="5"/>
      <c r="D505" s="5"/>
    </row>
    <row r="506" spans="1:4" x14ac:dyDescent="0.2">
      <c r="A506" s="83"/>
      <c r="B506" s="84"/>
      <c r="C506" s="5"/>
      <c r="D506" s="5"/>
    </row>
    <row r="507" spans="1:4" x14ac:dyDescent="0.2">
      <c r="A507" s="83"/>
      <c r="B507" s="84"/>
      <c r="C507" s="5"/>
      <c r="D507" s="5"/>
    </row>
    <row r="508" spans="1:4" x14ac:dyDescent="0.2">
      <c r="A508" s="83"/>
      <c r="B508" s="84"/>
      <c r="C508" s="5"/>
      <c r="D508" s="5"/>
    </row>
    <row r="509" spans="1:4" x14ac:dyDescent="0.2">
      <c r="A509" s="83"/>
      <c r="B509" s="84"/>
      <c r="C509" s="5"/>
      <c r="D509" s="5"/>
    </row>
    <row r="510" spans="1:4" x14ac:dyDescent="0.2">
      <c r="A510" s="83"/>
      <c r="B510" s="84"/>
      <c r="C510" s="5"/>
      <c r="D510" s="5"/>
    </row>
    <row r="511" spans="1:4" x14ac:dyDescent="0.2">
      <c r="A511" s="83"/>
      <c r="B511" s="84"/>
      <c r="C511" s="5"/>
      <c r="D511" s="5"/>
    </row>
    <row r="512" spans="1:4" x14ac:dyDescent="0.2">
      <c r="A512" s="83"/>
      <c r="B512" s="84"/>
      <c r="C512" s="5"/>
      <c r="D512" s="5"/>
    </row>
    <row r="513" spans="1:4" x14ac:dyDescent="0.2">
      <c r="A513" s="83"/>
      <c r="B513" s="84"/>
      <c r="C513" s="5"/>
      <c r="D513" s="5"/>
    </row>
    <row r="514" spans="1:4" x14ac:dyDescent="0.2">
      <c r="A514" s="83"/>
      <c r="B514" s="84"/>
      <c r="C514" s="5"/>
      <c r="D514" s="5"/>
    </row>
    <row r="515" spans="1:4" x14ac:dyDescent="0.2">
      <c r="A515" s="83"/>
      <c r="B515" s="84"/>
      <c r="C515" s="5"/>
      <c r="D515" s="5"/>
    </row>
    <row r="516" spans="1:4" x14ac:dyDescent="0.2">
      <c r="A516" s="83"/>
      <c r="B516" s="84"/>
      <c r="C516" s="5"/>
      <c r="D516" s="5"/>
    </row>
    <row r="517" spans="1:4" x14ac:dyDescent="0.2">
      <c r="A517" s="83"/>
      <c r="B517" s="84"/>
      <c r="C517" s="5"/>
      <c r="D517" s="5"/>
    </row>
    <row r="518" spans="1:4" x14ac:dyDescent="0.2">
      <c r="A518" s="83"/>
      <c r="B518" s="84"/>
      <c r="C518" s="5"/>
      <c r="D518" s="5"/>
    </row>
    <row r="519" spans="1:4" x14ac:dyDescent="0.2">
      <c r="A519" s="83"/>
      <c r="B519" s="84"/>
      <c r="C519" s="5"/>
      <c r="D519" s="5"/>
    </row>
    <row r="520" spans="1:4" x14ac:dyDescent="0.2">
      <c r="A520" s="83"/>
      <c r="B520" s="84"/>
      <c r="C520" s="5"/>
      <c r="D520" s="5"/>
    </row>
    <row r="521" spans="1:4" x14ac:dyDescent="0.2">
      <c r="A521" s="83"/>
      <c r="B521" s="84"/>
      <c r="C521" s="5"/>
      <c r="D521" s="5"/>
    </row>
    <row r="522" spans="1:4" x14ac:dyDescent="0.2">
      <c r="A522" s="83"/>
      <c r="B522" s="84"/>
      <c r="C522" s="5"/>
      <c r="D522" s="5"/>
    </row>
    <row r="523" spans="1:4" x14ac:dyDescent="0.2">
      <c r="A523" s="83"/>
      <c r="B523" s="84"/>
      <c r="C523" s="5"/>
      <c r="D523" s="5"/>
    </row>
    <row r="524" spans="1:4" x14ac:dyDescent="0.2">
      <c r="A524" s="83"/>
      <c r="B524" s="84"/>
      <c r="C524" s="5"/>
      <c r="D524" s="5"/>
    </row>
    <row r="525" spans="1:4" x14ac:dyDescent="0.2">
      <c r="A525" s="83"/>
      <c r="B525" s="84"/>
      <c r="C525" s="5"/>
      <c r="D525" s="5"/>
    </row>
    <row r="526" spans="1:4" x14ac:dyDescent="0.2">
      <c r="A526" s="83"/>
      <c r="B526" s="84"/>
      <c r="C526" s="5"/>
      <c r="D526" s="5"/>
    </row>
    <row r="527" spans="1:4" x14ac:dyDescent="0.2">
      <c r="A527" s="83"/>
      <c r="B527" s="84"/>
      <c r="C527" s="5"/>
      <c r="D527" s="5"/>
    </row>
    <row r="528" spans="1:4" x14ac:dyDescent="0.2">
      <c r="A528" s="83"/>
      <c r="B528" s="84"/>
      <c r="C528" s="5"/>
      <c r="D528" s="5"/>
    </row>
    <row r="529" spans="1:4" x14ac:dyDescent="0.2">
      <c r="A529" s="83"/>
      <c r="B529" s="84"/>
      <c r="C529" s="5"/>
      <c r="D529" s="5"/>
    </row>
    <row r="530" spans="1:4" x14ac:dyDescent="0.2">
      <c r="A530" s="83"/>
      <c r="B530" s="84"/>
      <c r="C530" s="5"/>
      <c r="D530" s="5"/>
    </row>
    <row r="531" spans="1:4" x14ac:dyDescent="0.2">
      <c r="A531" s="83"/>
      <c r="B531" s="84"/>
      <c r="C531" s="5"/>
      <c r="D531" s="5"/>
    </row>
    <row r="532" spans="1:4" x14ac:dyDescent="0.2">
      <c r="A532" s="83"/>
      <c r="B532" s="84"/>
      <c r="C532" s="5"/>
      <c r="D532" s="5"/>
    </row>
    <row r="533" spans="1:4" x14ac:dyDescent="0.2">
      <c r="A533" s="83"/>
      <c r="B533" s="84"/>
      <c r="C533" s="5"/>
      <c r="D533" s="5"/>
    </row>
    <row r="534" spans="1:4" x14ac:dyDescent="0.2">
      <c r="A534" s="83"/>
      <c r="B534" s="84"/>
      <c r="C534" s="5"/>
      <c r="D534" s="5"/>
    </row>
    <row r="535" spans="1:4" x14ac:dyDescent="0.2">
      <c r="A535" s="83"/>
      <c r="B535" s="84"/>
      <c r="C535" s="5"/>
      <c r="D535" s="5"/>
    </row>
    <row r="536" spans="1:4" x14ac:dyDescent="0.2">
      <c r="A536" s="83"/>
      <c r="B536" s="84"/>
      <c r="C536" s="5"/>
      <c r="D536" s="5"/>
    </row>
    <row r="537" spans="1:4" x14ac:dyDescent="0.2">
      <c r="A537" s="83"/>
      <c r="B537" s="84"/>
      <c r="C537" s="5"/>
      <c r="D537" s="5"/>
    </row>
    <row r="538" spans="1:4" x14ac:dyDescent="0.2">
      <c r="A538" s="83"/>
      <c r="B538" s="84"/>
      <c r="C538" s="5"/>
      <c r="D538" s="5"/>
    </row>
    <row r="539" spans="1:4" x14ac:dyDescent="0.2">
      <c r="A539" s="83"/>
      <c r="B539" s="84"/>
      <c r="C539" s="5"/>
      <c r="D539" s="5"/>
    </row>
    <row r="540" spans="1:4" x14ac:dyDescent="0.2">
      <c r="A540" s="83"/>
      <c r="B540" s="84"/>
      <c r="C540" s="5"/>
      <c r="D540" s="5"/>
    </row>
    <row r="541" spans="1:4" x14ac:dyDescent="0.2">
      <c r="A541" s="83"/>
      <c r="B541" s="84"/>
      <c r="C541" s="5"/>
      <c r="D541" s="5"/>
    </row>
    <row r="542" spans="1:4" x14ac:dyDescent="0.2">
      <c r="A542" s="83"/>
      <c r="B542" s="84"/>
      <c r="C542" s="5"/>
      <c r="D542" s="5"/>
    </row>
    <row r="543" spans="1:4" x14ac:dyDescent="0.2">
      <c r="A543" s="83"/>
      <c r="B543" s="84"/>
      <c r="C543" s="5"/>
      <c r="D543" s="5"/>
    </row>
    <row r="544" spans="1:4" x14ac:dyDescent="0.2">
      <c r="A544" s="83"/>
      <c r="B544" s="84"/>
      <c r="C544" s="5"/>
      <c r="D544" s="5"/>
    </row>
    <row r="545" spans="1:4" x14ac:dyDescent="0.2">
      <c r="A545" s="83"/>
      <c r="B545" s="84"/>
      <c r="C545" s="5"/>
      <c r="D545" s="5"/>
    </row>
    <row r="546" spans="1:4" x14ac:dyDescent="0.2">
      <c r="A546" s="83"/>
      <c r="B546" s="84"/>
      <c r="C546" s="5"/>
      <c r="D546" s="5"/>
    </row>
    <row r="547" spans="1:4" x14ac:dyDescent="0.2">
      <c r="A547" s="83"/>
      <c r="B547" s="84"/>
      <c r="C547" s="5"/>
      <c r="D547" s="5"/>
    </row>
    <row r="548" spans="1:4" x14ac:dyDescent="0.2">
      <c r="A548" s="83"/>
      <c r="B548" s="84"/>
      <c r="C548" s="5"/>
      <c r="D548" s="5"/>
    </row>
    <row r="549" spans="1:4" x14ac:dyDescent="0.2">
      <c r="A549" s="83"/>
      <c r="B549" s="84"/>
      <c r="C549" s="5"/>
      <c r="D549" s="5"/>
    </row>
    <row r="550" spans="1:4" x14ac:dyDescent="0.2">
      <c r="A550" s="83"/>
      <c r="B550" s="84"/>
      <c r="C550" s="5"/>
      <c r="D550" s="5"/>
    </row>
    <row r="551" spans="1:4" x14ac:dyDescent="0.2">
      <c r="A551" s="83"/>
      <c r="B551" s="84"/>
      <c r="C551" s="5"/>
      <c r="D551" s="5"/>
    </row>
    <row r="552" spans="1:4" x14ac:dyDescent="0.2">
      <c r="A552" s="83"/>
      <c r="B552" s="84"/>
      <c r="C552" s="5"/>
      <c r="D552" s="5"/>
    </row>
    <row r="553" spans="1:4" x14ac:dyDescent="0.2">
      <c r="A553" s="83"/>
      <c r="B553" s="84"/>
      <c r="C553" s="5"/>
      <c r="D553" s="5"/>
    </row>
    <row r="554" spans="1:4" x14ac:dyDescent="0.2">
      <c r="A554" s="83"/>
      <c r="B554" s="84"/>
      <c r="C554" s="5"/>
      <c r="D554" s="5"/>
    </row>
    <row r="555" spans="1:4" x14ac:dyDescent="0.2">
      <c r="A555" s="83"/>
      <c r="B555" s="84"/>
      <c r="C555" s="5"/>
      <c r="D555" s="5"/>
    </row>
    <row r="556" spans="1:4" x14ac:dyDescent="0.2">
      <c r="A556" s="83"/>
      <c r="B556" s="84"/>
      <c r="C556" s="5"/>
      <c r="D556" s="5"/>
    </row>
    <row r="557" spans="1:4" x14ac:dyDescent="0.2">
      <c r="A557" s="83"/>
      <c r="B557" s="84"/>
      <c r="C557" s="5"/>
      <c r="D557" s="5"/>
    </row>
    <row r="558" spans="1:4" x14ac:dyDescent="0.2">
      <c r="A558" s="83"/>
      <c r="B558" s="84"/>
      <c r="C558" s="5"/>
      <c r="D558" s="5"/>
    </row>
    <row r="559" spans="1:4" x14ac:dyDescent="0.2">
      <c r="A559" s="83"/>
      <c r="B559" s="84"/>
      <c r="C559" s="5"/>
      <c r="D559" s="5"/>
    </row>
    <row r="560" spans="1:4" x14ac:dyDescent="0.2">
      <c r="A560" s="83"/>
      <c r="B560" s="84"/>
      <c r="C560" s="5"/>
      <c r="D560" s="5"/>
    </row>
    <row r="561" spans="1:4" x14ac:dyDescent="0.2">
      <c r="A561" s="83"/>
      <c r="B561" s="84"/>
      <c r="C561" s="5"/>
      <c r="D561" s="5"/>
    </row>
    <row r="562" spans="1:4" x14ac:dyDescent="0.2">
      <c r="A562" s="83"/>
      <c r="B562" s="84"/>
      <c r="C562" s="5"/>
      <c r="D562" s="5"/>
    </row>
    <row r="563" spans="1:4" x14ac:dyDescent="0.2">
      <c r="A563" s="83"/>
      <c r="B563" s="84"/>
      <c r="C563" s="5"/>
      <c r="D563" s="5"/>
    </row>
    <row r="564" spans="1:4" x14ac:dyDescent="0.2">
      <c r="A564" s="83"/>
      <c r="B564" s="84"/>
      <c r="C564" s="5"/>
      <c r="D564" s="5"/>
    </row>
    <row r="565" spans="1:4" x14ac:dyDescent="0.2">
      <c r="A565" s="83"/>
      <c r="B565" s="84"/>
      <c r="C565" s="5"/>
      <c r="D565" s="5"/>
    </row>
    <row r="566" spans="1:4" x14ac:dyDescent="0.2">
      <c r="A566" s="83"/>
      <c r="B566" s="84"/>
      <c r="C566" s="5"/>
      <c r="D566" s="5"/>
    </row>
    <row r="567" spans="1:4" x14ac:dyDescent="0.2">
      <c r="A567" s="83"/>
      <c r="B567" s="84"/>
      <c r="C567" s="5"/>
      <c r="D567" s="5"/>
    </row>
    <row r="568" spans="1:4" x14ac:dyDescent="0.2">
      <c r="A568" s="83"/>
      <c r="B568" s="84"/>
      <c r="C568" s="5"/>
      <c r="D568" s="5"/>
    </row>
    <row r="569" spans="1:4" x14ac:dyDescent="0.2">
      <c r="A569" s="83"/>
      <c r="B569" s="84"/>
      <c r="C569" s="5"/>
      <c r="D569" s="5"/>
    </row>
    <row r="570" spans="1:4" x14ac:dyDescent="0.2">
      <c r="A570" s="83"/>
      <c r="B570" s="84"/>
      <c r="C570" s="5"/>
      <c r="D570" s="5"/>
    </row>
    <row r="571" spans="1:4" x14ac:dyDescent="0.2">
      <c r="A571" s="83"/>
      <c r="B571" s="84"/>
      <c r="C571" s="5"/>
      <c r="D571" s="5"/>
    </row>
    <row r="572" spans="1:4" x14ac:dyDescent="0.2">
      <c r="A572" s="83"/>
      <c r="B572" s="84"/>
      <c r="C572" s="5"/>
      <c r="D572" s="5"/>
    </row>
    <row r="573" spans="1:4" x14ac:dyDescent="0.2">
      <c r="A573" s="83"/>
      <c r="B573" s="84"/>
      <c r="C573" s="5"/>
      <c r="D573" s="5"/>
    </row>
    <row r="574" spans="1:4" x14ac:dyDescent="0.2">
      <c r="A574" s="83"/>
      <c r="B574" s="84"/>
      <c r="C574" s="5"/>
      <c r="D574" s="5"/>
    </row>
    <row r="575" spans="1:4" x14ac:dyDescent="0.2">
      <c r="A575" s="83"/>
      <c r="B575" s="84"/>
      <c r="C575" s="5"/>
      <c r="D575" s="5"/>
    </row>
    <row r="576" spans="1:4" x14ac:dyDescent="0.2">
      <c r="A576" s="83"/>
      <c r="B576" s="84"/>
      <c r="C576" s="5"/>
      <c r="D576" s="5"/>
    </row>
    <row r="577" spans="1:4" x14ac:dyDescent="0.2">
      <c r="A577" s="83"/>
      <c r="B577" s="84"/>
      <c r="C577" s="5"/>
      <c r="D577" s="5"/>
    </row>
    <row r="578" spans="1:4" x14ac:dyDescent="0.2">
      <c r="A578" s="83"/>
      <c r="B578" s="84"/>
      <c r="C578" s="5"/>
      <c r="D578" s="5"/>
    </row>
    <row r="579" spans="1:4" x14ac:dyDescent="0.2">
      <c r="A579" s="83"/>
      <c r="B579" s="84"/>
      <c r="C579" s="5"/>
      <c r="D579" s="5"/>
    </row>
    <row r="580" spans="1:4" x14ac:dyDescent="0.2">
      <c r="A580" s="83"/>
      <c r="B580" s="84"/>
      <c r="C580" s="5"/>
      <c r="D580" s="5"/>
    </row>
    <row r="581" spans="1:4" x14ac:dyDescent="0.2">
      <c r="A581" s="83"/>
      <c r="B581" s="84"/>
      <c r="C581" s="5"/>
      <c r="D581" s="5"/>
    </row>
    <row r="582" spans="1:4" x14ac:dyDescent="0.2">
      <c r="A582" s="83"/>
      <c r="B582" s="84"/>
      <c r="C582" s="5"/>
      <c r="D582" s="5"/>
    </row>
    <row r="583" spans="1:4" x14ac:dyDescent="0.2">
      <c r="A583" s="83"/>
      <c r="B583" s="84"/>
      <c r="C583" s="5"/>
      <c r="D583" s="5"/>
    </row>
    <row r="584" spans="1:4" x14ac:dyDescent="0.2">
      <c r="A584" s="83"/>
      <c r="B584" s="84"/>
      <c r="C584" s="5"/>
      <c r="D584" s="5"/>
    </row>
    <row r="585" spans="1:4" x14ac:dyDescent="0.2">
      <c r="A585" s="83"/>
      <c r="B585" s="84"/>
      <c r="C585" s="5"/>
      <c r="D585" s="5"/>
    </row>
    <row r="586" spans="1:4" x14ac:dyDescent="0.2">
      <c r="A586" s="83"/>
      <c r="B586" s="84"/>
      <c r="C586" s="5"/>
      <c r="D586" s="5"/>
    </row>
    <row r="587" spans="1:4" x14ac:dyDescent="0.2">
      <c r="A587" s="83"/>
      <c r="B587" s="84"/>
      <c r="C587" s="5"/>
      <c r="D587" s="5"/>
    </row>
    <row r="588" spans="1:4" x14ac:dyDescent="0.2">
      <c r="A588" s="83"/>
      <c r="B588" s="84"/>
      <c r="C588" s="5"/>
      <c r="D588" s="5"/>
    </row>
    <row r="589" spans="1:4" x14ac:dyDescent="0.2">
      <c r="A589" s="83"/>
      <c r="B589" s="84"/>
      <c r="C589" s="5"/>
      <c r="D589" s="5"/>
    </row>
    <row r="590" spans="1:4" x14ac:dyDescent="0.2">
      <c r="A590" s="83"/>
      <c r="B590" s="84"/>
      <c r="C590" s="5"/>
      <c r="D590" s="5"/>
    </row>
    <row r="591" spans="1:4" x14ac:dyDescent="0.2">
      <c r="A591" s="83"/>
      <c r="B591" s="84"/>
      <c r="C591" s="5"/>
      <c r="D591" s="5"/>
    </row>
    <row r="592" spans="1:4" x14ac:dyDescent="0.2">
      <c r="A592" s="83"/>
      <c r="B592" s="84"/>
      <c r="C592" s="5"/>
      <c r="D592" s="5"/>
    </row>
    <row r="593" spans="1:4" x14ac:dyDescent="0.2">
      <c r="A593" s="83"/>
      <c r="B593" s="84"/>
      <c r="C593" s="5"/>
      <c r="D593" s="5"/>
    </row>
    <row r="594" spans="1:4" x14ac:dyDescent="0.2">
      <c r="A594" s="83"/>
      <c r="B594" s="84"/>
      <c r="C594" s="5"/>
      <c r="D594" s="5"/>
    </row>
    <row r="595" spans="1:4" x14ac:dyDescent="0.2">
      <c r="A595" s="83"/>
      <c r="B595" s="84"/>
      <c r="C595" s="5"/>
      <c r="D595" s="5"/>
    </row>
    <row r="596" spans="1:4" x14ac:dyDescent="0.2">
      <c r="A596" s="83"/>
      <c r="B596" s="84"/>
      <c r="C596" s="5"/>
      <c r="D596" s="5"/>
    </row>
    <row r="597" spans="1:4" x14ac:dyDescent="0.2">
      <c r="A597" s="83"/>
      <c r="B597" s="84"/>
      <c r="C597" s="5"/>
      <c r="D597" s="5"/>
    </row>
    <row r="598" spans="1:4" x14ac:dyDescent="0.2">
      <c r="A598" s="83"/>
      <c r="B598" s="84"/>
      <c r="C598" s="5"/>
      <c r="D598" s="5"/>
    </row>
    <row r="599" spans="1:4" x14ac:dyDescent="0.2">
      <c r="A599" s="83"/>
      <c r="B599" s="84"/>
      <c r="C599" s="5"/>
      <c r="D599" s="5"/>
    </row>
    <row r="600" spans="1:4" x14ac:dyDescent="0.2">
      <c r="A600" s="83"/>
      <c r="B600" s="84"/>
      <c r="C600" s="5"/>
      <c r="D600" s="5"/>
    </row>
    <row r="601" spans="1:4" x14ac:dyDescent="0.2">
      <c r="A601" s="83"/>
      <c r="B601" s="84"/>
      <c r="C601" s="5"/>
      <c r="D601" s="5"/>
    </row>
    <row r="602" spans="1:4" x14ac:dyDescent="0.2">
      <c r="A602" s="83"/>
      <c r="B602" s="84"/>
      <c r="C602" s="5"/>
      <c r="D602" s="5"/>
    </row>
    <row r="603" spans="1:4" x14ac:dyDescent="0.2">
      <c r="A603" s="83"/>
      <c r="B603" s="84"/>
      <c r="C603" s="5"/>
      <c r="D603" s="5"/>
    </row>
    <row r="604" spans="1:4" x14ac:dyDescent="0.2">
      <c r="A604" s="83"/>
      <c r="B604" s="84"/>
      <c r="C604" s="5"/>
      <c r="D604" s="5"/>
    </row>
    <row r="605" spans="1:4" x14ac:dyDescent="0.2">
      <c r="A605" s="83"/>
      <c r="B605" s="84"/>
      <c r="C605" s="5"/>
      <c r="D605" s="5"/>
    </row>
    <row r="606" spans="1:4" x14ac:dyDescent="0.2">
      <c r="A606" s="83"/>
      <c r="B606" s="84"/>
      <c r="C606" s="5"/>
      <c r="D606" s="5"/>
    </row>
    <row r="607" spans="1:4" x14ac:dyDescent="0.2">
      <c r="A607" s="83"/>
      <c r="B607" s="84"/>
      <c r="C607" s="5"/>
      <c r="D607" s="5"/>
    </row>
    <row r="608" spans="1:4" x14ac:dyDescent="0.2">
      <c r="A608" s="83"/>
      <c r="B608" s="84"/>
      <c r="C608" s="5"/>
      <c r="D608" s="5"/>
    </row>
    <row r="609" spans="1:4" x14ac:dyDescent="0.2">
      <c r="A609" s="83"/>
      <c r="B609" s="84"/>
      <c r="C609" s="5"/>
      <c r="D609" s="5"/>
    </row>
    <row r="610" spans="1:4" x14ac:dyDescent="0.2">
      <c r="A610" s="83"/>
      <c r="B610" s="84"/>
      <c r="C610" s="5"/>
      <c r="D610" s="5"/>
    </row>
    <row r="611" spans="1:4" x14ac:dyDescent="0.2">
      <c r="A611" s="83"/>
      <c r="B611" s="84"/>
      <c r="C611" s="5"/>
      <c r="D611" s="5"/>
    </row>
    <row r="612" spans="1:4" x14ac:dyDescent="0.2">
      <c r="A612" s="83"/>
      <c r="B612" s="84"/>
      <c r="C612" s="5"/>
      <c r="D612" s="5"/>
    </row>
    <row r="613" spans="1:4" x14ac:dyDescent="0.2">
      <c r="A613" s="83"/>
      <c r="B613" s="84"/>
      <c r="C613" s="5"/>
      <c r="D613" s="5"/>
    </row>
    <row r="614" spans="1:4" x14ac:dyDescent="0.2">
      <c r="A614" s="83"/>
      <c r="B614" s="84"/>
      <c r="C614" s="5"/>
      <c r="D614" s="5"/>
    </row>
    <row r="615" spans="1:4" x14ac:dyDescent="0.2">
      <c r="A615" s="83"/>
      <c r="B615" s="84"/>
      <c r="C615" s="5"/>
      <c r="D615" s="5"/>
    </row>
    <row r="616" spans="1:4" x14ac:dyDescent="0.2">
      <c r="A616" s="83"/>
      <c r="B616" s="84"/>
      <c r="C616" s="5"/>
      <c r="D616" s="5"/>
    </row>
    <row r="617" spans="1:4" x14ac:dyDescent="0.2">
      <c r="A617" s="83"/>
      <c r="B617" s="84"/>
      <c r="C617" s="5"/>
      <c r="D617" s="5"/>
    </row>
    <row r="618" spans="1:4" x14ac:dyDescent="0.2">
      <c r="A618" s="83"/>
      <c r="B618" s="84"/>
      <c r="C618" s="5"/>
      <c r="D618" s="5"/>
    </row>
    <row r="619" spans="1:4" x14ac:dyDescent="0.2">
      <c r="A619" s="83"/>
      <c r="B619" s="84"/>
      <c r="C619" s="5"/>
      <c r="D619" s="5"/>
    </row>
    <row r="620" spans="1:4" x14ac:dyDescent="0.2">
      <c r="A620" s="83"/>
      <c r="B620" s="84"/>
      <c r="C620" s="5"/>
      <c r="D620" s="5"/>
    </row>
    <row r="621" spans="1:4" x14ac:dyDescent="0.2">
      <c r="A621" s="83"/>
      <c r="B621" s="84"/>
      <c r="C621" s="5"/>
      <c r="D621" s="5"/>
    </row>
    <row r="622" spans="1:4" x14ac:dyDescent="0.2">
      <c r="A622" s="83"/>
      <c r="B622" s="84"/>
      <c r="C622" s="5"/>
      <c r="D622" s="5"/>
    </row>
    <row r="623" spans="1:4" x14ac:dyDescent="0.2">
      <c r="A623" s="83"/>
      <c r="B623" s="84"/>
      <c r="C623" s="5"/>
      <c r="D623" s="5"/>
    </row>
    <row r="624" spans="1:4" x14ac:dyDescent="0.2">
      <c r="A624" s="83"/>
      <c r="B624" s="84"/>
      <c r="C624" s="5"/>
      <c r="D624" s="5"/>
    </row>
    <row r="625" spans="1:4" x14ac:dyDescent="0.2">
      <c r="A625" s="83"/>
      <c r="B625" s="84"/>
      <c r="C625" s="5"/>
      <c r="D625" s="5"/>
    </row>
    <row r="626" spans="1:4" x14ac:dyDescent="0.2">
      <c r="A626" s="83"/>
      <c r="B626" s="84"/>
      <c r="C626" s="5"/>
      <c r="D626" s="5"/>
    </row>
    <row r="627" spans="1:4" x14ac:dyDescent="0.2">
      <c r="A627" s="83"/>
      <c r="B627" s="84"/>
      <c r="C627" s="5"/>
      <c r="D627" s="5"/>
    </row>
    <row r="628" spans="1:4" x14ac:dyDescent="0.2">
      <c r="A628" s="83"/>
      <c r="B628" s="84"/>
      <c r="C628" s="5"/>
      <c r="D628" s="5"/>
    </row>
    <row r="629" spans="1:4" x14ac:dyDescent="0.2">
      <c r="A629" s="83"/>
      <c r="B629" s="84"/>
      <c r="C629" s="5"/>
      <c r="D629" s="5"/>
    </row>
    <row r="630" spans="1:4" x14ac:dyDescent="0.2">
      <c r="A630" s="83"/>
      <c r="B630" s="84"/>
      <c r="C630" s="5"/>
      <c r="D630" s="5"/>
    </row>
    <row r="631" spans="1:4" x14ac:dyDescent="0.2">
      <c r="A631" s="83"/>
      <c r="B631" s="84"/>
      <c r="C631" s="5"/>
      <c r="D631" s="5"/>
    </row>
    <row r="632" spans="1:4" x14ac:dyDescent="0.2">
      <c r="A632" s="83"/>
      <c r="B632" s="84"/>
      <c r="C632" s="5"/>
      <c r="D632" s="5"/>
    </row>
    <row r="633" spans="1:4" x14ac:dyDescent="0.2">
      <c r="A633" s="83"/>
      <c r="B633" s="84"/>
      <c r="C633" s="5"/>
      <c r="D633" s="5"/>
    </row>
    <row r="634" spans="1:4" x14ac:dyDescent="0.2">
      <c r="A634" s="83"/>
      <c r="B634" s="84"/>
      <c r="C634" s="5"/>
      <c r="D634" s="5"/>
    </row>
    <row r="635" spans="1:4" x14ac:dyDescent="0.2">
      <c r="A635" s="83"/>
      <c r="B635" s="84"/>
      <c r="C635" s="5"/>
      <c r="D635" s="5"/>
    </row>
    <row r="636" spans="1:4" x14ac:dyDescent="0.2">
      <c r="A636" s="83"/>
      <c r="B636" s="84"/>
      <c r="C636" s="5"/>
      <c r="D636" s="5"/>
    </row>
    <row r="637" spans="1:4" x14ac:dyDescent="0.2">
      <c r="A637" s="83"/>
      <c r="B637" s="84"/>
      <c r="C637" s="5"/>
      <c r="D637" s="5"/>
    </row>
    <row r="638" spans="1:4" x14ac:dyDescent="0.2">
      <c r="A638" s="83"/>
      <c r="B638" s="84"/>
      <c r="C638" s="5"/>
      <c r="D638" s="5"/>
    </row>
    <row r="639" spans="1:4" x14ac:dyDescent="0.2">
      <c r="A639" s="83"/>
      <c r="B639" s="84"/>
      <c r="C639" s="5"/>
      <c r="D639" s="5"/>
    </row>
    <row r="640" spans="1:4" x14ac:dyDescent="0.2">
      <c r="A640" s="83"/>
      <c r="B640" s="84"/>
      <c r="C640" s="5"/>
      <c r="D640" s="5"/>
    </row>
    <row r="641" spans="1:4" x14ac:dyDescent="0.2">
      <c r="A641" s="83"/>
      <c r="B641" s="84"/>
      <c r="C641" s="5"/>
      <c r="D641" s="5"/>
    </row>
    <row r="642" spans="1:4" x14ac:dyDescent="0.2">
      <c r="A642" s="83"/>
      <c r="B642" s="84"/>
      <c r="C642" s="5"/>
      <c r="D642" s="5"/>
    </row>
    <row r="643" spans="1:4" x14ac:dyDescent="0.2">
      <c r="A643" s="83"/>
      <c r="B643" s="84"/>
      <c r="C643" s="5"/>
      <c r="D643" s="5"/>
    </row>
    <row r="644" spans="1:4" x14ac:dyDescent="0.2">
      <c r="A644" s="83"/>
      <c r="B644" s="84"/>
      <c r="C644" s="5"/>
      <c r="D644" s="5"/>
    </row>
    <row r="645" spans="1:4" x14ac:dyDescent="0.2">
      <c r="A645" s="83"/>
      <c r="B645" s="84"/>
      <c r="C645" s="5"/>
      <c r="D645" s="5"/>
    </row>
    <row r="646" spans="1:4" x14ac:dyDescent="0.2">
      <c r="A646" s="83"/>
      <c r="B646" s="84"/>
      <c r="C646" s="5"/>
      <c r="D646" s="5"/>
    </row>
    <row r="647" spans="1:4" x14ac:dyDescent="0.2">
      <c r="A647" s="83"/>
      <c r="B647" s="84"/>
      <c r="C647" s="5"/>
      <c r="D647" s="5"/>
    </row>
    <row r="648" spans="1:4" x14ac:dyDescent="0.2">
      <c r="A648" s="83"/>
      <c r="B648" s="84"/>
      <c r="C648" s="5"/>
      <c r="D648" s="5"/>
    </row>
    <row r="649" spans="1:4" x14ac:dyDescent="0.2">
      <c r="A649" s="83"/>
      <c r="B649" s="84"/>
      <c r="C649" s="5"/>
      <c r="D649" s="5"/>
    </row>
    <row r="650" spans="1:4" x14ac:dyDescent="0.2">
      <c r="A650" s="83"/>
      <c r="B650" s="84"/>
      <c r="C650" s="5"/>
      <c r="D650" s="5"/>
    </row>
    <row r="651" spans="1:4" x14ac:dyDescent="0.2">
      <c r="A651" s="83"/>
      <c r="B651" s="84"/>
      <c r="C651" s="5"/>
      <c r="D651" s="5"/>
    </row>
    <row r="652" spans="1:4" x14ac:dyDescent="0.2">
      <c r="A652" s="83"/>
      <c r="B652" s="84"/>
      <c r="C652" s="5"/>
      <c r="D652" s="5"/>
    </row>
    <row r="653" spans="1:4" x14ac:dyDescent="0.2">
      <c r="A653" s="83"/>
      <c r="B653" s="84"/>
      <c r="C653" s="5"/>
      <c r="D653" s="5"/>
    </row>
    <row r="654" spans="1:4" x14ac:dyDescent="0.2">
      <c r="A654" s="83"/>
      <c r="B654" s="84"/>
      <c r="C654" s="5"/>
      <c r="D654" s="5"/>
    </row>
    <row r="655" spans="1:4" x14ac:dyDescent="0.2">
      <c r="A655" s="83"/>
      <c r="B655" s="84"/>
      <c r="C655" s="5"/>
      <c r="D655" s="5"/>
    </row>
    <row r="656" spans="1:4" x14ac:dyDescent="0.2">
      <c r="A656" s="83"/>
      <c r="B656" s="84"/>
      <c r="C656" s="5"/>
      <c r="D656" s="5"/>
    </row>
    <row r="657" spans="1:4" x14ac:dyDescent="0.2">
      <c r="A657" s="83"/>
      <c r="B657" s="84"/>
      <c r="C657" s="5"/>
      <c r="D657" s="5"/>
    </row>
    <row r="658" spans="1:4" x14ac:dyDescent="0.2">
      <c r="A658" s="83"/>
      <c r="B658" s="84"/>
      <c r="C658" s="5"/>
      <c r="D658" s="5"/>
    </row>
    <row r="659" spans="1:4" x14ac:dyDescent="0.2">
      <c r="A659" s="83"/>
      <c r="B659" s="84"/>
      <c r="C659" s="5"/>
      <c r="D659" s="5"/>
    </row>
    <row r="660" spans="1:4" x14ac:dyDescent="0.2">
      <c r="A660" s="83"/>
      <c r="B660" s="84"/>
      <c r="C660" s="5"/>
      <c r="D660" s="5"/>
    </row>
    <row r="661" spans="1:4" x14ac:dyDescent="0.2">
      <c r="A661" s="83"/>
      <c r="B661" s="84"/>
      <c r="C661" s="5"/>
      <c r="D661" s="5"/>
    </row>
    <row r="662" spans="1:4" x14ac:dyDescent="0.2">
      <c r="A662" s="83"/>
      <c r="B662" s="84"/>
      <c r="C662" s="5"/>
      <c r="D662" s="5"/>
    </row>
    <row r="663" spans="1:4" x14ac:dyDescent="0.2">
      <c r="A663" s="83"/>
      <c r="B663" s="84"/>
      <c r="C663" s="5"/>
      <c r="D663" s="5"/>
    </row>
    <row r="664" spans="1:4" x14ac:dyDescent="0.2">
      <c r="A664" s="83"/>
      <c r="B664" s="84"/>
      <c r="C664" s="5"/>
      <c r="D664" s="5"/>
    </row>
    <row r="665" spans="1:4" x14ac:dyDescent="0.2">
      <c r="A665" s="83"/>
      <c r="B665" s="84"/>
      <c r="C665" s="5"/>
      <c r="D665" s="5"/>
    </row>
    <row r="666" spans="1:4" x14ac:dyDescent="0.2">
      <c r="A666" s="83"/>
      <c r="B666" s="84"/>
      <c r="C666" s="5"/>
      <c r="D666" s="5"/>
    </row>
    <row r="667" spans="1:4" x14ac:dyDescent="0.2">
      <c r="A667" s="83"/>
      <c r="B667" s="84"/>
      <c r="C667" s="5"/>
      <c r="D667" s="5"/>
    </row>
    <row r="668" spans="1:4" x14ac:dyDescent="0.2">
      <c r="A668" s="83"/>
      <c r="B668" s="84"/>
      <c r="C668" s="5"/>
      <c r="D668" s="5"/>
    </row>
    <row r="669" spans="1:4" x14ac:dyDescent="0.2">
      <c r="A669" s="83"/>
      <c r="B669" s="84"/>
      <c r="C669" s="5"/>
      <c r="D669" s="5"/>
    </row>
    <row r="670" spans="1:4" x14ac:dyDescent="0.2">
      <c r="A670" s="83"/>
      <c r="B670" s="84"/>
      <c r="C670" s="5"/>
      <c r="D670" s="5"/>
    </row>
    <row r="671" spans="1:4" x14ac:dyDescent="0.2">
      <c r="A671" s="83"/>
      <c r="B671" s="84"/>
      <c r="C671" s="5"/>
      <c r="D671" s="5"/>
    </row>
    <row r="672" spans="1:4" x14ac:dyDescent="0.2">
      <c r="A672" s="83"/>
      <c r="B672" s="84"/>
      <c r="C672" s="5"/>
      <c r="D672" s="5"/>
    </row>
    <row r="673" spans="1:4" x14ac:dyDescent="0.2">
      <c r="A673" s="83"/>
      <c r="B673" s="84"/>
      <c r="C673" s="5"/>
      <c r="D673" s="5"/>
    </row>
    <row r="674" spans="1:4" x14ac:dyDescent="0.2">
      <c r="A674" s="83"/>
      <c r="B674" s="84"/>
      <c r="C674" s="5"/>
      <c r="D674" s="5"/>
    </row>
    <row r="675" spans="1:4" x14ac:dyDescent="0.2">
      <c r="A675" s="83"/>
      <c r="B675" s="84"/>
      <c r="C675" s="5"/>
      <c r="D675" s="5"/>
    </row>
    <row r="676" spans="1:4" x14ac:dyDescent="0.2">
      <c r="A676" s="83"/>
      <c r="B676" s="84"/>
      <c r="C676" s="5"/>
      <c r="D676" s="5"/>
    </row>
    <row r="677" spans="1:4" x14ac:dyDescent="0.2">
      <c r="A677" s="83"/>
      <c r="B677" s="84"/>
      <c r="C677" s="5"/>
      <c r="D677" s="5"/>
    </row>
    <row r="678" spans="1:4" x14ac:dyDescent="0.2">
      <c r="A678" s="83"/>
      <c r="B678" s="84"/>
      <c r="C678" s="5"/>
      <c r="D678" s="5"/>
    </row>
    <row r="679" spans="1:4" x14ac:dyDescent="0.2">
      <c r="A679" s="83"/>
      <c r="B679" s="84"/>
      <c r="C679" s="5"/>
      <c r="D679" s="5"/>
    </row>
    <row r="680" spans="1:4" x14ac:dyDescent="0.2">
      <c r="A680" s="83"/>
      <c r="B680" s="84"/>
      <c r="C680" s="5"/>
      <c r="D680" s="5"/>
    </row>
    <row r="681" spans="1:4" x14ac:dyDescent="0.2">
      <c r="A681" s="83"/>
      <c r="B681" s="84"/>
      <c r="C681" s="5"/>
      <c r="D681" s="5"/>
    </row>
    <row r="682" spans="1:4" x14ac:dyDescent="0.2">
      <c r="A682" s="83"/>
      <c r="B682" s="84"/>
      <c r="C682" s="5"/>
      <c r="D682" s="5"/>
    </row>
    <row r="683" spans="1:4" x14ac:dyDescent="0.2">
      <c r="A683" s="83"/>
      <c r="B683" s="84"/>
      <c r="C683" s="5"/>
      <c r="D683" s="5"/>
    </row>
    <row r="684" spans="1:4" x14ac:dyDescent="0.2">
      <c r="A684" s="83"/>
      <c r="B684" s="84"/>
      <c r="C684" s="5"/>
      <c r="D684" s="5"/>
    </row>
    <row r="685" spans="1:4" x14ac:dyDescent="0.2">
      <c r="A685" s="83"/>
      <c r="B685" s="84"/>
      <c r="C685" s="5"/>
      <c r="D685" s="5"/>
    </row>
    <row r="686" spans="1:4" x14ac:dyDescent="0.2">
      <c r="A686" s="83"/>
      <c r="B686" s="84"/>
      <c r="C686" s="5"/>
      <c r="D686" s="5"/>
    </row>
    <row r="687" spans="1:4" x14ac:dyDescent="0.2">
      <c r="A687" s="83"/>
      <c r="B687" s="84"/>
      <c r="C687" s="5"/>
      <c r="D687" s="5"/>
    </row>
    <row r="688" spans="1:4" x14ac:dyDescent="0.2">
      <c r="A688" s="83"/>
      <c r="B688" s="84"/>
      <c r="C688" s="5"/>
      <c r="D688" s="5"/>
    </row>
    <row r="689" spans="1:4" x14ac:dyDescent="0.2">
      <c r="A689" s="83"/>
      <c r="B689" s="84"/>
      <c r="C689" s="5"/>
      <c r="D689" s="5"/>
    </row>
    <row r="690" spans="1:4" x14ac:dyDescent="0.2">
      <c r="A690" s="83"/>
      <c r="B690" s="84"/>
      <c r="C690" s="5"/>
      <c r="D690" s="5"/>
    </row>
    <row r="691" spans="1:4" x14ac:dyDescent="0.2">
      <c r="A691" s="83"/>
      <c r="B691" s="84"/>
      <c r="C691" s="5"/>
      <c r="D691" s="5"/>
    </row>
    <row r="692" spans="1:4" x14ac:dyDescent="0.2">
      <c r="A692" s="83"/>
      <c r="B692" s="84"/>
      <c r="C692" s="5"/>
      <c r="D692" s="5"/>
    </row>
    <row r="693" spans="1:4" x14ac:dyDescent="0.2">
      <c r="A693" s="83"/>
      <c r="B693" s="84"/>
      <c r="C693" s="5"/>
      <c r="D693" s="5"/>
    </row>
    <row r="694" spans="1:4" x14ac:dyDescent="0.2">
      <c r="A694" s="83"/>
      <c r="B694" s="84"/>
      <c r="C694" s="5"/>
      <c r="D694" s="5"/>
    </row>
    <row r="695" spans="1:4" x14ac:dyDescent="0.2">
      <c r="A695" s="83"/>
      <c r="B695" s="84"/>
      <c r="C695" s="5"/>
      <c r="D695" s="5"/>
    </row>
    <row r="696" spans="1:4" x14ac:dyDescent="0.2">
      <c r="A696" s="83"/>
      <c r="B696" s="84"/>
      <c r="C696" s="5"/>
      <c r="D696" s="5"/>
    </row>
    <row r="697" spans="1:4" x14ac:dyDescent="0.2">
      <c r="A697" s="83"/>
      <c r="B697" s="84"/>
      <c r="C697" s="5"/>
      <c r="D697" s="5"/>
    </row>
    <row r="698" spans="1:4" x14ac:dyDescent="0.2">
      <c r="A698" s="83"/>
      <c r="B698" s="84"/>
      <c r="C698" s="5"/>
      <c r="D698" s="5"/>
    </row>
    <row r="699" spans="1:4" x14ac:dyDescent="0.2">
      <c r="A699" s="83"/>
      <c r="B699" s="84"/>
      <c r="C699" s="5"/>
      <c r="D699" s="5"/>
    </row>
    <row r="700" spans="1:4" x14ac:dyDescent="0.2">
      <c r="A700" s="83"/>
      <c r="B700" s="84"/>
      <c r="C700" s="5"/>
      <c r="D700" s="5"/>
    </row>
    <row r="701" spans="1:4" x14ac:dyDescent="0.2">
      <c r="A701" s="83"/>
      <c r="B701" s="84"/>
      <c r="C701" s="5"/>
      <c r="D701" s="5"/>
    </row>
    <row r="702" spans="1:4" x14ac:dyDescent="0.2">
      <c r="A702" s="83"/>
      <c r="B702" s="84"/>
      <c r="C702" s="5"/>
      <c r="D702" s="5"/>
    </row>
    <row r="703" spans="1:4" x14ac:dyDescent="0.2">
      <c r="A703" s="83"/>
      <c r="B703" s="84"/>
      <c r="C703" s="5"/>
      <c r="D703" s="5"/>
    </row>
    <row r="704" spans="1:4" x14ac:dyDescent="0.2">
      <c r="A704" s="83"/>
      <c r="B704" s="84"/>
      <c r="C704" s="5"/>
      <c r="D704" s="5"/>
    </row>
    <row r="705" spans="1:4" x14ac:dyDescent="0.2">
      <c r="A705" s="83"/>
      <c r="B705" s="84"/>
      <c r="C705" s="5"/>
      <c r="D705" s="5"/>
    </row>
    <row r="706" spans="1:4" x14ac:dyDescent="0.2">
      <c r="A706" s="83"/>
      <c r="B706" s="84"/>
      <c r="C706" s="5"/>
      <c r="D706" s="5"/>
    </row>
    <row r="707" spans="1:4" x14ac:dyDescent="0.2">
      <c r="A707" s="83"/>
      <c r="B707" s="84"/>
      <c r="C707" s="5"/>
      <c r="D707" s="5"/>
    </row>
    <row r="708" spans="1:4" x14ac:dyDescent="0.2">
      <c r="A708" s="83"/>
      <c r="B708" s="84"/>
      <c r="C708" s="5"/>
      <c r="D708" s="5"/>
    </row>
    <row r="709" spans="1:4" x14ac:dyDescent="0.2">
      <c r="A709" s="83"/>
      <c r="B709" s="84"/>
      <c r="C709" s="5"/>
      <c r="D709" s="5"/>
    </row>
    <row r="710" spans="1:4" x14ac:dyDescent="0.2">
      <c r="A710" s="83"/>
      <c r="B710" s="84"/>
      <c r="C710" s="5"/>
      <c r="D710" s="5"/>
    </row>
    <row r="711" spans="1:4" x14ac:dyDescent="0.2">
      <c r="A711" s="83"/>
      <c r="B711" s="84"/>
      <c r="C711" s="5"/>
      <c r="D711" s="5"/>
    </row>
    <row r="712" spans="1:4" x14ac:dyDescent="0.2">
      <c r="A712" s="83"/>
      <c r="B712" s="84"/>
      <c r="C712" s="5"/>
      <c r="D712" s="5"/>
    </row>
    <row r="713" spans="1:4" x14ac:dyDescent="0.2">
      <c r="A713" s="83"/>
      <c r="B713" s="84"/>
      <c r="C713" s="5"/>
      <c r="D713" s="5"/>
    </row>
    <row r="714" spans="1:4" x14ac:dyDescent="0.2">
      <c r="A714" s="83"/>
      <c r="B714" s="84"/>
      <c r="C714" s="5"/>
      <c r="D714" s="5"/>
    </row>
    <row r="715" spans="1:4" x14ac:dyDescent="0.2">
      <c r="A715" s="83"/>
      <c r="B715" s="84"/>
      <c r="C715" s="5"/>
      <c r="D715" s="5"/>
    </row>
    <row r="716" spans="1:4" x14ac:dyDescent="0.2">
      <c r="A716" s="83"/>
      <c r="B716" s="84"/>
      <c r="C716" s="5"/>
      <c r="D716" s="5"/>
    </row>
    <row r="717" spans="1:4" x14ac:dyDescent="0.2">
      <c r="A717" s="83"/>
      <c r="B717" s="84"/>
      <c r="C717" s="5"/>
      <c r="D717" s="5"/>
    </row>
    <row r="718" spans="1:4" x14ac:dyDescent="0.2">
      <c r="A718" s="83"/>
      <c r="B718" s="84"/>
      <c r="C718" s="5"/>
      <c r="D718" s="5"/>
    </row>
    <row r="719" spans="1:4" x14ac:dyDescent="0.2">
      <c r="A719" s="83"/>
      <c r="B719" s="84"/>
      <c r="C719" s="5"/>
      <c r="D719" s="5"/>
    </row>
    <row r="720" spans="1:4" x14ac:dyDescent="0.2">
      <c r="A720" s="83"/>
      <c r="B720" s="84"/>
      <c r="C720" s="5"/>
      <c r="D720" s="5"/>
    </row>
    <row r="721" spans="1:4" x14ac:dyDescent="0.2">
      <c r="A721" s="83"/>
      <c r="B721" s="84"/>
      <c r="C721" s="5"/>
      <c r="D721" s="5"/>
    </row>
    <row r="722" spans="1:4" x14ac:dyDescent="0.2">
      <c r="A722" s="83"/>
      <c r="B722" s="84"/>
      <c r="C722" s="5"/>
      <c r="D722" s="5"/>
    </row>
    <row r="723" spans="1:4" x14ac:dyDescent="0.2">
      <c r="A723" s="83"/>
      <c r="B723" s="84"/>
      <c r="C723" s="5"/>
      <c r="D723" s="5"/>
    </row>
    <row r="724" spans="1:4" x14ac:dyDescent="0.2">
      <c r="A724" s="83"/>
      <c r="B724" s="84"/>
      <c r="C724" s="5"/>
      <c r="D724" s="5"/>
    </row>
    <row r="725" spans="1:4" x14ac:dyDescent="0.2">
      <c r="A725" s="83"/>
      <c r="B725" s="84"/>
      <c r="C725" s="5"/>
      <c r="D725" s="5"/>
    </row>
    <row r="726" spans="1:4" x14ac:dyDescent="0.2">
      <c r="A726" s="83"/>
      <c r="B726" s="84"/>
      <c r="C726" s="5"/>
      <c r="D726" s="5"/>
    </row>
    <row r="727" spans="1:4" x14ac:dyDescent="0.2">
      <c r="A727" s="83"/>
      <c r="B727" s="84"/>
      <c r="C727" s="5"/>
      <c r="D727" s="5"/>
    </row>
    <row r="728" spans="1:4" x14ac:dyDescent="0.2">
      <c r="A728" s="83"/>
      <c r="B728" s="84"/>
      <c r="C728" s="5"/>
      <c r="D728" s="5"/>
    </row>
    <row r="729" spans="1:4" x14ac:dyDescent="0.2">
      <c r="A729" s="83"/>
      <c r="B729" s="84"/>
      <c r="C729" s="5"/>
      <c r="D729" s="5"/>
    </row>
    <row r="730" spans="1:4" x14ac:dyDescent="0.2">
      <c r="A730" s="83"/>
      <c r="B730" s="84"/>
      <c r="C730" s="5"/>
      <c r="D730" s="5"/>
    </row>
    <row r="731" spans="1:4" x14ac:dyDescent="0.2">
      <c r="A731" s="83"/>
      <c r="B731" s="84"/>
      <c r="C731" s="5"/>
      <c r="D731" s="5"/>
    </row>
    <row r="732" spans="1:4" x14ac:dyDescent="0.2">
      <c r="A732" s="83"/>
      <c r="B732" s="84"/>
      <c r="C732" s="5"/>
      <c r="D732" s="5"/>
    </row>
    <row r="733" spans="1:4" x14ac:dyDescent="0.2">
      <c r="A733" s="83"/>
      <c r="B733" s="84"/>
      <c r="C733" s="5"/>
      <c r="D733" s="5"/>
    </row>
    <row r="734" spans="1:4" x14ac:dyDescent="0.2">
      <c r="A734" s="83"/>
      <c r="B734" s="84"/>
      <c r="C734" s="5"/>
      <c r="D734" s="5"/>
    </row>
    <row r="735" spans="1:4" x14ac:dyDescent="0.2">
      <c r="A735" s="83"/>
      <c r="B735" s="84"/>
      <c r="C735" s="5"/>
      <c r="D735" s="5"/>
    </row>
    <row r="736" spans="1:4" x14ac:dyDescent="0.2">
      <c r="A736" s="83"/>
      <c r="B736" s="84"/>
      <c r="C736" s="5"/>
      <c r="D736" s="5"/>
    </row>
    <row r="737" spans="1:4" x14ac:dyDescent="0.2">
      <c r="A737" s="83"/>
      <c r="B737" s="84"/>
      <c r="C737" s="5"/>
      <c r="D737" s="5"/>
    </row>
    <row r="738" spans="1:4" x14ac:dyDescent="0.2">
      <c r="A738" s="83"/>
      <c r="B738" s="84"/>
      <c r="C738" s="5"/>
      <c r="D738" s="5"/>
    </row>
    <row r="739" spans="1:4" x14ac:dyDescent="0.2">
      <c r="A739" s="83"/>
      <c r="B739" s="84"/>
      <c r="C739" s="5"/>
      <c r="D739" s="5"/>
    </row>
    <row r="740" spans="1:4" x14ac:dyDescent="0.2">
      <c r="A740" s="83"/>
      <c r="B740" s="84"/>
      <c r="C740" s="5"/>
      <c r="D740" s="5"/>
    </row>
    <row r="741" spans="1:4" x14ac:dyDescent="0.2">
      <c r="A741" s="83"/>
      <c r="B741" s="84"/>
      <c r="C741" s="5"/>
      <c r="D741" s="5"/>
    </row>
    <row r="742" spans="1:4" x14ac:dyDescent="0.2">
      <c r="A742" s="83"/>
      <c r="B742" s="84"/>
      <c r="C742" s="5"/>
      <c r="D742" s="5"/>
    </row>
    <row r="743" spans="1:4" x14ac:dyDescent="0.2">
      <c r="A743" s="83"/>
      <c r="B743" s="84"/>
      <c r="C743" s="5"/>
      <c r="D743" s="5"/>
    </row>
    <row r="744" spans="1:4" x14ac:dyDescent="0.2">
      <c r="A744" s="83"/>
      <c r="B744" s="84"/>
      <c r="C744" s="5"/>
      <c r="D744" s="5"/>
    </row>
    <row r="745" spans="1:4" x14ac:dyDescent="0.2">
      <c r="A745" s="83"/>
      <c r="B745" s="84"/>
      <c r="C745" s="5"/>
      <c r="D745" s="5"/>
    </row>
    <row r="746" spans="1:4" x14ac:dyDescent="0.2">
      <c r="A746" s="83"/>
      <c r="B746" s="84"/>
      <c r="C746" s="5"/>
      <c r="D746" s="5"/>
    </row>
    <row r="747" spans="1:4" x14ac:dyDescent="0.2">
      <c r="A747" s="83"/>
      <c r="B747" s="84"/>
      <c r="C747" s="5"/>
      <c r="D747" s="5"/>
    </row>
    <row r="748" spans="1:4" x14ac:dyDescent="0.2">
      <c r="A748" s="83"/>
      <c r="B748" s="84"/>
      <c r="C748" s="5"/>
      <c r="D748" s="5"/>
    </row>
    <row r="749" spans="1:4" x14ac:dyDescent="0.2">
      <c r="A749" s="83"/>
      <c r="B749" s="84"/>
      <c r="C749" s="5"/>
      <c r="D749" s="5"/>
    </row>
    <row r="750" spans="1:4" x14ac:dyDescent="0.2">
      <c r="A750" s="83"/>
      <c r="B750" s="84"/>
      <c r="C750" s="5"/>
      <c r="D750" s="5"/>
    </row>
    <row r="751" spans="1:4" x14ac:dyDescent="0.2">
      <c r="A751" s="83"/>
      <c r="B751" s="84"/>
      <c r="C751" s="5"/>
      <c r="D751" s="5"/>
    </row>
    <row r="752" spans="1:4" x14ac:dyDescent="0.2">
      <c r="A752" s="83"/>
      <c r="B752" s="84"/>
      <c r="C752" s="5"/>
      <c r="D752" s="5"/>
    </row>
    <row r="753" spans="1:4" x14ac:dyDescent="0.2">
      <c r="A753" s="83"/>
      <c r="B753" s="84"/>
      <c r="C753" s="5"/>
      <c r="D753" s="5"/>
    </row>
    <row r="754" spans="1:4" x14ac:dyDescent="0.2">
      <c r="A754" s="83"/>
      <c r="B754" s="84"/>
      <c r="C754" s="5"/>
      <c r="D754" s="5"/>
    </row>
    <row r="755" spans="1:4" x14ac:dyDescent="0.2">
      <c r="A755" s="83"/>
      <c r="B755" s="84"/>
      <c r="C755" s="5"/>
      <c r="D755" s="5"/>
    </row>
    <row r="756" spans="1:4" x14ac:dyDescent="0.2">
      <c r="A756" s="83"/>
      <c r="B756" s="84"/>
      <c r="C756" s="5"/>
      <c r="D756" s="5"/>
    </row>
    <row r="757" spans="1:4" x14ac:dyDescent="0.2">
      <c r="A757" s="83"/>
      <c r="B757" s="84"/>
      <c r="C757" s="5"/>
      <c r="D757" s="5"/>
    </row>
    <row r="758" spans="1:4" x14ac:dyDescent="0.2">
      <c r="A758" s="83"/>
      <c r="B758" s="84"/>
      <c r="C758" s="5"/>
      <c r="D758" s="5"/>
    </row>
    <row r="759" spans="1:4" x14ac:dyDescent="0.2">
      <c r="A759" s="83"/>
      <c r="B759" s="84"/>
      <c r="C759" s="5"/>
      <c r="D759" s="5"/>
    </row>
    <row r="760" spans="1:4" x14ac:dyDescent="0.2">
      <c r="A760" s="83"/>
      <c r="B760" s="84"/>
      <c r="C760" s="5"/>
      <c r="D760" s="5"/>
    </row>
    <row r="761" spans="1:4" x14ac:dyDescent="0.2">
      <c r="A761" s="83"/>
      <c r="B761" s="84"/>
      <c r="C761" s="5"/>
      <c r="D761" s="5"/>
    </row>
    <row r="762" spans="1:4" x14ac:dyDescent="0.2">
      <c r="A762" s="83"/>
      <c r="B762" s="84"/>
      <c r="C762" s="5"/>
      <c r="D762" s="5"/>
    </row>
    <row r="763" spans="1:4" x14ac:dyDescent="0.2">
      <c r="A763" s="83"/>
      <c r="B763" s="84"/>
      <c r="C763" s="5"/>
      <c r="D763" s="5"/>
    </row>
    <row r="764" spans="1:4" x14ac:dyDescent="0.2">
      <c r="A764" s="83"/>
      <c r="B764" s="84"/>
      <c r="C764" s="5"/>
      <c r="D764" s="5"/>
    </row>
    <row r="765" spans="1:4" x14ac:dyDescent="0.2">
      <c r="A765" s="83"/>
      <c r="B765" s="84"/>
      <c r="C765" s="5"/>
      <c r="D765" s="5"/>
    </row>
    <row r="766" spans="1:4" x14ac:dyDescent="0.2">
      <c r="A766" s="83"/>
      <c r="B766" s="84"/>
      <c r="C766" s="5"/>
      <c r="D766" s="5"/>
    </row>
    <row r="767" spans="1:4" x14ac:dyDescent="0.2">
      <c r="A767" s="83"/>
      <c r="B767" s="84"/>
      <c r="C767" s="5"/>
      <c r="D767" s="5"/>
    </row>
    <row r="768" spans="1:4" x14ac:dyDescent="0.2">
      <c r="A768" s="83"/>
      <c r="B768" s="84"/>
      <c r="C768" s="5"/>
      <c r="D768" s="5"/>
    </row>
    <row r="769" spans="1:4" x14ac:dyDescent="0.2">
      <c r="A769" s="83"/>
      <c r="B769" s="84"/>
      <c r="C769" s="5"/>
      <c r="D769" s="5"/>
    </row>
    <row r="770" spans="1:4" x14ac:dyDescent="0.2">
      <c r="A770" s="83"/>
      <c r="B770" s="84"/>
      <c r="C770" s="5"/>
      <c r="D770" s="5"/>
    </row>
    <row r="771" spans="1:4" x14ac:dyDescent="0.2">
      <c r="A771" s="83"/>
      <c r="B771" s="84"/>
      <c r="C771" s="5"/>
      <c r="D771" s="5"/>
    </row>
    <row r="772" spans="1:4" x14ac:dyDescent="0.2">
      <c r="A772" s="83"/>
      <c r="B772" s="84"/>
      <c r="C772" s="5"/>
      <c r="D772" s="5"/>
    </row>
    <row r="773" spans="1:4" x14ac:dyDescent="0.2">
      <c r="A773" s="83"/>
      <c r="B773" s="84"/>
      <c r="C773" s="5"/>
      <c r="D773" s="5"/>
    </row>
    <row r="774" spans="1:4" x14ac:dyDescent="0.2">
      <c r="A774" s="83"/>
      <c r="B774" s="84"/>
      <c r="C774" s="5"/>
      <c r="D774" s="5"/>
    </row>
    <row r="775" spans="1:4" x14ac:dyDescent="0.2">
      <c r="A775" s="83"/>
      <c r="B775" s="84"/>
      <c r="C775" s="5"/>
      <c r="D775" s="5"/>
    </row>
    <row r="776" spans="1:4" x14ac:dyDescent="0.2">
      <c r="A776" s="83"/>
      <c r="B776" s="84"/>
      <c r="C776" s="5"/>
      <c r="D776" s="5"/>
    </row>
    <row r="777" spans="1:4" x14ac:dyDescent="0.2">
      <c r="A777" s="83"/>
      <c r="B777" s="84"/>
      <c r="C777" s="5"/>
      <c r="D777" s="5"/>
    </row>
    <row r="778" spans="1:4" x14ac:dyDescent="0.2">
      <c r="A778" s="83"/>
      <c r="B778" s="84"/>
      <c r="C778" s="5"/>
      <c r="D778" s="5"/>
    </row>
    <row r="779" spans="1:4" x14ac:dyDescent="0.2">
      <c r="A779" s="83"/>
      <c r="B779" s="84"/>
      <c r="C779" s="5"/>
      <c r="D779" s="5"/>
    </row>
    <row r="780" spans="1:4" x14ac:dyDescent="0.2">
      <c r="A780" s="83"/>
      <c r="B780" s="84"/>
      <c r="C780" s="5"/>
      <c r="D780" s="5"/>
    </row>
    <row r="781" spans="1:4" x14ac:dyDescent="0.2">
      <c r="A781" s="83"/>
      <c r="B781" s="84"/>
      <c r="C781" s="5"/>
      <c r="D781" s="5"/>
    </row>
    <row r="782" spans="1:4" x14ac:dyDescent="0.2">
      <c r="A782" s="83"/>
      <c r="B782" s="84"/>
      <c r="C782" s="5"/>
      <c r="D782" s="5"/>
    </row>
    <row r="783" spans="1:4" x14ac:dyDescent="0.2">
      <c r="A783" s="83"/>
      <c r="B783" s="84"/>
      <c r="C783" s="5"/>
      <c r="D783" s="5"/>
    </row>
    <row r="784" spans="1:4" x14ac:dyDescent="0.2">
      <c r="A784" s="83"/>
      <c r="B784" s="84"/>
      <c r="C784" s="5"/>
      <c r="D784" s="5"/>
    </row>
    <row r="785" spans="1:4" x14ac:dyDescent="0.2">
      <c r="A785" s="83"/>
      <c r="B785" s="84"/>
      <c r="C785" s="5"/>
      <c r="D785" s="5"/>
    </row>
    <row r="786" spans="1:4" x14ac:dyDescent="0.2">
      <c r="A786" s="83"/>
      <c r="B786" s="84"/>
      <c r="C786" s="5"/>
      <c r="D786" s="5"/>
    </row>
    <row r="787" spans="1:4" x14ac:dyDescent="0.2">
      <c r="A787" s="83"/>
      <c r="B787" s="84"/>
      <c r="C787" s="5"/>
      <c r="D787" s="5"/>
    </row>
    <row r="788" spans="1:4" x14ac:dyDescent="0.2">
      <c r="A788" s="83"/>
      <c r="B788" s="84"/>
      <c r="C788" s="5"/>
      <c r="D788" s="5"/>
    </row>
    <row r="789" spans="1:4" x14ac:dyDescent="0.2">
      <c r="A789" s="83"/>
      <c r="C789" s="5"/>
      <c r="D789" s="5"/>
    </row>
  </sheetData>
  <mergeCells count="2">
    <mergeCell ref="A1:D1"/>
    <mergeCell ref="A2:D2"/>
  </mergeCells>
  <phoneticPr fontId="0" type="noConversion"/>
  <pageMargins left="0.98425196850393704" right="0.98425196850393704" top="0.98425196850393704" bottom="0.59055118110236227" header="0" footer="0"/>
  <pageSetup paperSize="9" scale="83" orientation="portrait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78"/>
  <sheetViews>
    <sheetView workbookViewId="0">
      <selection activeCell="H20" sqref="H20"/>
    </sheetView>
  </sheetViews>
  <sheetFormatPr baseColWidth="10" defaultRowHeight="12.75" x14ac:dyDescent="0.2"/>
  <cols>
    <col min="2" max="2" width="44.7109375" customWidth="1"/>
    <col min="5" max="5" width="11.42578125" style="4"/>
    <col min="9" max="9" width="12.85546875" bestFit="1" customWidth="1"/>
  </cols>
  <sheetData>
    <row r="1" spans="1:9" ht="18" x14ac:dyDescent="0.2">
      <c r="A1" s="553" t="s">
        <v>406</v>
      </c>
      <c r="B1" s="553"/>
      <c r="C1" s="553"/>
      <c r="D1" s="553"/>
    </row>
    <row r="2" spans="1:9" ht="15.75" x14ac:dyDescent="0.2">
      <c r="A2" s="554" t="s">
        <v>931</v>
      </c>
      <c r="B2" s="554"/>
      <c r="C2" s="554"/>
      <c r="D2" s="554"/>
    </row>
    <row r="3" spans="1:9" ht="18.75" x14ac:dyDescent="0.2">
      <c r="A3" s="538" t="s">
        <v>406</v>
      </c>
      <c r="B3" s="538"/>
      <c r="C3" s="538"/>
      <c r="D3" s="538"/>
    </row>
    <row r="4" spans="1:9" ht="15" x14ac:dyDescent="0.2">
      <c r="A4" s="555" t="s">
        <v>932</v>
      </c>
      <c r="B4" s="545"/>
      <c r="C4" s="545"/>
      <c r="D4" s="545"/>
      <c r="E4" s="22"/>
    </row>
    <row r="5" spans="1:9" x14ac:dyDescent="0.2">
      <c r="A5" s="333">
        <v>3</v>
      </c>
      <c r="B5" s="354" t="s">
        <v>421</v>
      </c>
      <c r="C5" s="334"/>
      <c r="D5" s="334"/>
    </row>
    <row r="6" spans="1:9" x14ac:dyDescent="0.2">
      <c r="A6" s="336">
        <v>3.1</v>
      </c>
      <c r="B6" s="487" t="s">
        <v>422</v>
      </c>
      <c r="C6" s="334"/>
      <c r="D6" s="334"/>
    </row>
    <row r="7" spans="1:9" x14ac:dyDescent="0.2">
      <c r="A7" s="336" t="s">
        <v>519</v>
      </c>
      <c r="B7" s="487" t="s">
        <v>520</v>
      </c>
      <c r="C7" s="334"/>
      <c r="D7" s="334"/>
    </row>
    <row r="8" spans="1:9" x14ac:dyDescent="0.2">
      <c r="A8" s="21" t="s">
        <v>5</v>
      </c>
      <c r="B8" s="21" t="s">
        <v>6</v>
      </c>
      <c r="C8" s="33" t="s">
        <v>400</v>
      </c>
      <c r="D8" s="33" t="s">
        <v>7</v>
      </c>
      <c r="E8" s="18"/>
      <c r="F8" s="2"/>
    </row>
    <row r="9" spans="1:9" x14ac:dyDescent="0.2">
      <c r="A9" s="19"/>
      <c r="B9" s="21"/>
      <c r="C9" s="33"/>
      <c r="D9" s="33"/>
    </row>
    <row r="10" spans="1:9" x14ac:dyDescent="0.2">
      <c r="A10" s="54"/>
      <c r="B10" s="55" t="s">
        <v>7</v>
      </c>
      <c r="C10" s="40">
        <f>SUM(C11:C73)</f>
        <v>924573.54999999993</v>
      </c>
      <c r="D10" s="40">
        <f>D11+D68</f>
        <v>924573.54999999993</v>
      </c>
      <c r="E10" s="18"/>
      <c r="F10" s="192"/>
      <c r="G10" s="2"/>
    </row>
    <row r="11" spans="1:9" x14ac:dyDescent="0.2">
      <c r="A11" s="54">
        <v>7</v>
      </c>
      <c r="B11" s="56" t="s">
        <v>170</v>
      </c>
      <c r="C11" s="40"/>
      <c r="D11" s="40">
        <f>D36+D63+D12</f>
        <v>921573.54999999993</v>
      </c>
    </row>
    <row r="12" spans="1:9" x14ac:dyDescent="0.2">
      <c r="A12" s="42">
        <v>7.1</v>
      </c>
      <c r="B12" s="43" t="s">
        <v>9</v>
      </c>
      <c r="C12" s="41"/>
      <c r="D12" s="40">
        <f>D13+D17+D26+D31+D34</f>
        <v>35140.49</v>
      </c>
    </row>
    <row r="13" spans="1:9" x14ac:dyDescent="0.2">
      <c r="A13" s="42" t="s">
        <v>151</v>
      </c>
      <c r="B13" s="43" t="s">
        <v>11</v>
      </c>
      <c r="C13" s="40"/>
      <c r="D13" s="40">
        <f>SUM(C14:C15)</f>
        <v>27072</v>
      </c>
    </row>
    <row r="14" spans="1:9" x14ac:dyDescent="0.2">
      <c r="A14" s="45" t="s">
        <v>262</v>
      </c>
      <c r="B14" s="46" t="s">
        <v>833</v>
      </c>
      <c r="C14" s="41"/>
      <c r="D14" s="41"/>
      <c r="F14" s="2"/>
      <c r="I14" s="119"/>
    </row>
    <row r="15" spans="1:9" x14ac:dyDescent="0.2">
      <c r="A15" s="45" t="s">
        <v>271</v>
      </c>
      <c r="B15" s="46" t="s">
        <v>832</v>
      </c>
      <c r="C15" s="41">
        <v>27072</v>
      </c>
      <c r="D15" s="41"/>
      <c r="E15" s="18"/>
      <c r="F15" s="135"/>
    </row>
    <row r="16" spans="1:9" x14ac:dyDescent="0.2">
      <c r="A16" s="45" t="s">
        <v>770</v>
      </c>
      <c r="B16" s="46" t="s">
        <v>831</v>
      </c>
      <c r="C16" s="47"/>
      <c r="D16" s="44"/>
      <c r="F16" s="2"/>
    </row>
    <row r="17" spans="1:4" x14ac:dyDescent="0.2">
      <c r="A17" s="42" t="s">
        <v>265</v>
      </c>
      <c r="B17" s="43" t="s">
        <v>253</v>
      </c>
      <c r="C17" s="47"/>
      <c r="D17" s="44">
        <f>SUM(C18:C19)</f>
        <v>2658.6</v>
      </c>
    </row>
    <row r="18" spans="1:4" x14ac:dyDescent="0.2">
      <c r="A18" s="45" t="s">
        <v>263</v>
      </c>
      <c r="B18" s="46" t="s">
        <v>255</v>
      </c>
      <c r="C18" s="47">
        <v>2256</v>
      </c>
      <c r="D18" s="47"/>
    </row>
    <row r="19" spans="1:4" x14ac:dyDescent="0.2">
      <c r="A19" s="45" t="s">
        <v>264</v>
      </c>
      <c r="B19" s="46" t="s">
        <v>257</v>
      </c>
      <c r="C19" s="47">
        <v>402.6</v>
      </c>
      <c r="D19" s="44"/>
    </row>
    <row r="20" spans="1:4" x14ac:dyDescent="0.2">
      <c r="A20" s="54" t="s">
        <v>464</v>
      </c>
      <c r="B20" s="56" t="s">
        <v>350</v>
      </c>
      <c r="C20" s="47"/>
      <c r="D20" s="47"/>
    </row>
    <row r="21" spans="1:4" x14ac:dyDescent="0.2">
      <c r="A21" s="57" t="s">
        <v>771</v>
      </c>
      <c r="B21" s="58" t="s">
        <v>509</v>
      </c>
      <c r="C21" s="41"/>
      <c r="D21" s="44"/>
    </row>
    <row r="22" spans="1:4" x14ac:dyDescent="0.2">
      <c r="A22" s="57" t="s">
        <v>465</v>
      </c>
      <c r="B22" s="58" t="s">
        <v>830</v>
      </c>
      <c r="C22" s="233"/>
      <c r="D22" s="47"/>
    </row>
    <row r="23" spans="1:4" x14ac:dyDescent="0.2">
      <c r="A23" s="42" t="s">
        <v>188</v>
      </c>
      <c r="B23" s="59" t="s">
        <v>185</v>
      </c>
      <c r="C23" s="47"/>
      <c r="D23" s="44"/>
    </row>
    <row r="24" spans="1:4" x14ac:dyDescent="0.2">
      <c r="A24" s="45" t="s">
        <v>278</v>
      </c>
      <c r="B24" s="60" t="s">
        <v>719</v>
      </c>
      <c r="C24" s="234"/>
      <c r="D24" s="49"/>
    </row>
    <row r="25" spans="1:4" x14ac:dyDescent="0.2">
      <c r="A25" s="45" t="s">
        <v>481</v>
      </c>
      <c r="B25" s="46" t="s">
        <v>480</v>
      </c>
      <c r="C25" s="234"/>
      <c r="D25" s="49"/>
    </row>
    <row r="26" spans="1:4" x14ac:dyDescent="0.2">
      <c r="A26" s="42" t="s">
        <v>268</v>
      </c>
      <c r="B26" s="43" t="s">
        <v>186</v>
      </c>
      <c r="C26" s="234"/>
      <c r="D26" s="216">
        <f>SUM(C27:C30)</f>
        <v>0</v>
      </c>
    </row>
    <row r="27" spans="1:4" x14ac:dyDescent="0.2">
      <c r="A27" s="42" t="s">
        <v>772</v>
      </c>
      <c r="B27" s="43" t="s">
        <v>829</v>
      </c>
      <c r="C27" s="234"/>
      <c r="D27" s="49"/>
    </row>
    <row r="28" spans="1:4" x14ac:dyDescent="0.2">
      <c r="A28" s="45" t="s">
        <v>269</v>
      </c>
      <c r="B28" s="46" t="s">
        <v>259</v>
      </c>
      <c r="C28" s="234"/>
      <c r="D28" s="49"/>
    </row>
    <row r="29" spans="1:4" x14ac:dyDescent="0.2">
      <c r="A29" s="45" t="s">
        <v>675</v>
      </c>
      <c r="B29" s="46" t="s">
        <v>676</v>
      </c>
      <c r="C29" s="234"/>
      <c r="D29" s="49"/>
    </row>
    <row r="30" spans="1:4" x14ac:dyDescent="0.2">
      <c r="A30" s="45" t="s">
        <v>707</v>
      </c>
      <c r="B30" s="46" t="s">
        <v>543</v>
      </c>
      <c r="C30" s="234"/>
      <c r="D30" s="49"/>
    </row>
    <row r="31" spans="1:4" x14ac:dyDescent="0.2">
      <c r="A31" s="42" t="s">
        <v>266</v>
      </c>
      <c r="B31" s="43" t="s">
        <v>13</v>
      </c>
      <c r="C31" s="234"/>
      <c r="D31" s="216">
        <f>SUM(C32:C33)</f>
        <v>5409.8899999999994</v>
      </c>
    </row>
    <row r="32" spans="1:4" x14ac:dyDescent="0.2">
      <c r="A32" s="45" t="s">
        <v>267</v>
      </c>
      <c r="B32" s="46" t="s">
        <v>261</v>
      </c>
      <c r="C32" s="234">
        <v>3153.89</v>
      </c>
      <c r="D32" s="49"/>
    </row>
    <row r="33" spans="1:4" x14ac:dyDescent="0.2">
      <c r="A33" s="45" t="s">
        <v>705</v>
      </c>
      <c r="B33" s="46" t="s">
        <v>700</v>
      </c>
      <c r="C33" s="234">
        <v>2256</v>
      </c>
      <c r="D33" s="49"/>
    </row>
    <row r="34" spans="1:4" x14ac:dyDescent="0.2">
      <c r="A34" s="42" t="s">
        <v>619</v>
      </c>
      <c r="B34" s="43" t="s">
        <v>303</v>
      </c>
      <c r="C34" s="234"/>
      <c r="D34" s="216">
        <f>SUM(C35)</f>
        <v>0</v>
      </c>
    </row>
    <row r="35" spans="1:4" x14ac:dyDescent="0.2">
      <c r="A35" s="45" t="s">
        <v>620</v>
      </c>
      <c r="B35" s="46" t="s">
        <v>776</v>
      </c>
      <c r="C35" s="234"/>
      <c r="D35" s="49"/>
    </row>
    <row r="36" spans="1:4" x14ac:dyDescent="0.2">
      <c r="A36" s="54">
        <v>7.3</v>
      </c>
      <c r="B36" s="56" t="s">
        <v>521</v>
      </c>
      <c r="C36" s="40"/>
      <c r="D36" s="40">
        <f>D37+D41+D45+D48+D51+D54+D59</f>
        <v>699433.05999999994</v>
      </c>
    </row>
    <row r="37" spans="1:4" x14ac:dyDescent="0.2">
      <c r="A37" s="54" t="s">
        <v>3</v>
      </c>
      <c r="B37" s="56" t="s">
        <v>16</v>
      </c>
      <c r="C37" s="40"/>
      <c r="D37" s="40">
        <f>SUM(C38:C40)</f>
        <v>4000</v>
      </c>
    </row>
    <row r="38" spans="1:4" x14ac:dyDescent="0.2">
      <c r="A38" s="45" t="s">
        <v>621</v>
      </c>
      <c r="B38" s="46" t="s">
        <v>403</v>
      </c>
      <c r="C38" s="41">
        <v>500</v>
      </c>
      <c r="D38" s="40"/>
    </row>
    <row r="39" spans="1:4" x14ac:dyDescent="0.2">
      <c r="A39" s="57" t="s">
        <v>522</v>
      </c>
      <c r="B39" s="58" t="s">
        <v>523</v>
      </c>
      <c r="C39" s="41">
        <v>2000</v>
      </c>
      <c r="D39" s="40"/>
    </row>
    <row r="40" spans="1:4" x14ac:dyDescent="0.2">
      <c r="A40" s="57" t="s">
        <v>0</v>
      </c>
      <c r="B40" s="58" t="s">
        <v>20</v>
      </c>
      <c r="C40" s="41">
        <v>1500</v>
      </c>
      <c r="D40" s="40"/>
    </row>
    <row r="41" spans="1:4" x14ac:dyDescent="0.2">
      <c r="A41" s="54" t="s">
        <v>152</v>
      </c>
      <c r="B41" s="56" t="s">
        <v>4</v>
      </c>
      <c r="C41" s="40"/>
      <c r="D41" s="40">
        <f>SUM(C42:C44)</f>
        <v>7000</v>
      </c>
    </row>
    <row r="42" spans="1:4" x14ac:dyDescent="0.2">
      <c r="A42" s="57" t="s">
        <v>327</v>
      </c>
      <c r="B42" s="58" t="s">
        <v>693</v>
      </c>
      <c r="C42" s="41">
        <v>3000</v>
      </c>
      <c r="D42" s="41"/>
    </row>
    <row r="43" spans="1:4" x14ac:dyDescent="0.2">
      <c r="A43" s="57" t="s">
        <v>328</v>
      </c>
      <c r="B43" s="58" t="s">
        <v>545</v>
      </c>
      <c r="C43" s="41">
        <v>3000</v>
      </c>
      <c r="D43" s="41"/>
    </row>
    <row r="44" spans="1:4" x14ac:dyDescent="0.2">
      <c r="A44" s="57" t="s">
        <v>162</v>
      </c>
      <c r="B44" s="58" t="s">
        <v>171</v>
      </c>
      <c r="C44" s="41">
        <v>1000</v>
      </c>
      <c r="D44" s="41"/>
    </row>
    <row r="45" spans="1:4" x14ac:dyDescent="0.2">
      <c r="A45" s="54" t="s">
        <v>153</v>
      </c>
      <c r="B45" s="56" t="s">
        <v>34</v>
      </c>
      <c r="C45" s="40"/>
      <c r="D45" s="40">
        <f>+C46+C47</f>
        <v>1000</v>
      </c>
    </row>
    <row r="46" spans="1:4" x14ac:dyDescent="0.2">
      <c r="A46" s="57" t="s">
        <v>154</v>
      </c>
      <c r="B46" s="58" t="s">
        <v>36</v>
      </c>
      <c r="C46" s="41">
        <v>500</v>
      </c>
      <c r="D46" s="41"/>
    </row>
    <row r="47" spans="1:4" x14ac:dyDescent="0.2">
      <c r="A47" s="57" t="s">
        <v>155</v>
      </c>
      <c r="B47" s="58" t="s">
        <v>38</v>
      </c>
      <c r="C47" s="41">
        <v>500</v>
      </c>
      <c r="D47" s="41"/>
    </row>
    <row r="48" spans="1:4" x14ac:dyDescent="0.2">
      <c r="A48" s="54" t="s">
        <v>156</v>
      </c>
      <c r="B48" s="56" t="s">
        <v>40</v>
      </c>
      <c r="C48" s="40"/>
      <c r="D48" s="40">
        <f>+C49+C50</f>
        <v>8000</v>
      </c>
    </row>
    <row r="49" spans="1:4" x14ac:dyDescent="0.2">
      <c r="A49" s="57" t="s">
        <v>524</v>
      </c>
      <c r="B49" s="58" t="s">
        <v>201</v>
      </c>
      <c r="C49" s="41">
        <v>2000</v>
      </c>
      <c r="D49" s="40"/>
    </row>
    <row r="50" spans="1:4" x14ac:dyDescent="0.2">
      <c r="A50" s="57" t="s">
        <v>158</v>
      </c>
      <c r="B50" s="58" t="s">
        <v>44</v>
      </c>
      <c r="C50" s="41">
        <v>6000</v>
      </c>
      <c r="D50" s="41"/>
    </row>
    <row r="51" spans="1:4" x14ac:dyDescent="0.2">
      <c r="A51" s="54" t="s">
        <v>309</v>
      </c>
      <c r="B51" s="56" t="s">
        <v>110</v>
      </c>
      <c r="C51" s="41"/>
      <c r="D51" s="40">
        <f>SUM(C51:C53)</f>
        <v>30000</v>
      </c>
    </row>
    <row r="52" spans="1:4" x14ac:dyDescent="0.2">
      <c r="A52" s="57" t="s">
        <v>694</v>
      </c>
      <c r="B52" s="58" t="s">
        <v>695</v>
      </c>
      <c r="C52" s="41">
        <v>30000</v>
      </c>
      <c r="D52" s="41"/>
    </row>
    <row r="53" spans="1:4" s="4" customFormat="1" x14ac:dyDescent="0.2">
      <c r="A53" s="57" t="s">
        <v>684</v>
      </c>
      <c r="B53" s="58" t="s">
        <v>685</v>
      </c>
      <c r="C53" s="41"/>
      <c r="D53" s="41"/>
    </row>
    <row r="54" spans="1:4" ht="26.25" customHeight="1" x14ac:dyDescent="0.2">
      <c r="A54" s="54" t="s">
        <v>141</v>
      </c>
      <c r="B54" s="59" t="s">
        <v>696</v>
      </c>
      <c r="C54" s="41"/>
      <c r="D54" s="40">
        <f>SUM(C56:C58)</f>
        <v>646705.05999999994</v>
      </c>
    </row>
    <row r="55" spans="1:4" x14ac:dyDescent="0.2">
      <c r="A55" s="54" t="s">
        <v>143</v>
      </c>
      <c r="B55" s="56" t="s">
        <v>593</v>
      </c>
      <c r="C55" s="41"/>
      <c r="D55" s="41"/>
    </row>
    <row r="56" spans="1:4" x14ac:dyDescent="0.2">
      <c r="A56" s="57" t="s">
        <v>883</v>
      </c>
      <c r="B56" s="58" t="s">
        <v>954</v>
      </c>
      <c r="C56" s="41"/>
      <c r="D56" s="41"/>
    </row>
    <row r="57" spans="1:4" x14ac:dyDescent="0.2">
      <c r="A57" s="57" t="s">
        <v>956</v>
      </c>
      <c r="B57" s="58" t="s">
        <v>955</v>
      </c>
      <c r="C57" s="41">
        <v>261027.34</v>
      </c>
      <c r="D57" s="41"/>
    </row>
    <row r="58" spans="1:4" x14ac:dyDescent="0.2">
      <c r="A58" s="57" t="s">
        <v>958</v>
      </c>
      <c r="B58" s="58" t="s">
        <v>957</v>
      </c>
      <c r="C58" s="41">
        <v>385677.72</v>
      </c>
      <c r="D58" s="41"/>
    </row>
    <row r="59" spans="1:4" x14ac:dyDescent="0.2">
      <c r="A59" s="54" t="s">
        <v>159</v>
      </c>
      <c r="B59" s="56" t="s">
        <v>525</v>
      </c>
      <c r="C59" s="40"/>
      <c r="D59" s="40">
        <f>SUM(C60:C62)</f>
        <v>2728</v>
      </c>
    </row>
    <row r="60" spans="1:4" x14ac:dyDescent="0.2">
      <c r="A60" s="57" t="s">
        <v>160</v>
      </c>
      <c r="B60" s="58" t="s">
        <v>837</v>
      </c>
      <c r="C60" s="41">
        <v>228</v>
      </c>
      <c r="D60" s="40"/>
    </row>
    <row r="61" spans="1:4" x14ac:dyDescent="0.2">
      <c r="A61" s="57" t="s">
        <v>526</v>
      </c>
      <c r="B61" s="58" t="s">
        <v>179</v>
      </c>
      <c r="C61" s="41">
        <v>1500</v>
      </c>
      <c r="D61" s="40"/>
    </row>
    <row r="62" spans="1:4" x14ac:dyDescent="0.2">
      <c r="A62" s="57" t="s">
        <v>192</v>
      </c>
      <c r="B62" s="58" t="s">
        <v>878</v>
      </c>
      <c r="C62" s="41">
        <v>1000</v>
      </c>
      <c r="D62" s="41"/>
    </row>
    <row r="63" spans="1:4" x14ac:dyDescent="0.2">
      <c r="A63" s="42">
        <v>7.5</v>
      </c>
      <c r="B63" s="59" t="s">
        <v>87</v>
      </c>
      <c r="C63" s="41"/>
      <c r="D63" s="40">
        <f>D64</f>
        <v>187000</v>
      </c>
    </row>
    <row r="64" spans="1:4" x14ac:dyDescent="0.2">
      <c r="A64" s="42" t="s">
        <v>102</v>
      </c>
      <c r="B64" s="59" t="s">
        <v>531</v>
      </c>
      <c r="C64" s="41"/>
      <c r="D64" s="40">
        <f>SUM(C65:C67)</f>
        <v>187000</v>
      </c>
    </row>
    <row r="65" spans="1:6" ht="22.5" x14ac:dyDescent="0.2">
      <c r="A65" s="57" t="s">
        <v>532</v>
      </c>
      <c r="B65" s="194" t="s">
        <v>527</v>
      </c>
      <c r="C65" s="488">
        <v>58000</v>
      </c>
      <c r="D65" s="41"/>
    </row>
    <row r="66" spans="1:6" ht="22.5" x14ac:dyDescent="0.2">
      <c r="A66" s="57" t="s">
        <v>533</v>
      </c>
      <c r="B66" s="194" t="s">
        <v>528</v>
      </c>
      <c r="C66" s="488">
        <v>60000</v>
      </c>
      <c r="D66" s="41"/>
    </row>
    <row r="67" spans="1:6" ht="22.5" x14ac:dyDescent="0.2">
      <c r="A67" s="57" t="s">
        <v>534</v>
      </c>
      <c r="B67" s="194" t="s">
        <v>529</v>
      </c>
      <c r="C67" s="488">
        <v>69000</v>
      </c>
      <c r="D67" s="41"/>
    </row>
    <row r="68" spans="1:6" x14ac:dyDescent="0.2">
      <c r="A68" s="54">
        <v>8</v>
      </c>
      <c r="B68" s="56" t="s">
        <v>74</v>
      </c>
      <c r="C68" s="40"/>
      <c r="D68" s="40">
        <f>+D69</f>
        <v>3000</v>
      </c>
    </row>
    <row r="69" spans="1:6" x14ac:dyDescent="0.2">
      <c r="A69" s="54">
        <v>8.4</v>
      </c>
      <c r="B69" s="56" t="s">
        <v>75</v>
      </c>
      <c r="C69" s="40"/>
      <c r="D69" s="40">
        <f>+D70</f>
        <v>3000</v>
      </c>
      <c r="F69" s="2"/>
    </row>
    <row r="70" spans="1:6" x14ac:dyDescent="0.2">
      <c r="A70" s="54" t="s">
        <v>76</v>
      </c>
      <c r="B70" s="56" t="s">
        <v>77</v>
      </c>
      <c r="C70" s="40"/>
      <c r="D70" s="40">
        <f>SUM(C71:C73)</f>
        <v>3000</v>
      </c>
    </row>
    <row r="71" spans="1:6" x14ac:dyDescent="0.2">
      <c r="A71" s="52" t="s">
        <v>301</v>
      </c>
      <c r="B71" s="62" t="s">
        <v>149</v>
      </c>
      <c r="C71" s="41">
        <v>1000</v>
      </c>
      <c r="D71" s="40"/>
    </row>
    <row r="72" spans="1:6" s="4" customFormat="1" x14ac:dyDescent="0.2">
      <c r="A72" s="52" t="s">
        <v>283</v>
      </c>
      <c r="B72" s="46" t="s">
        <v>177</v>
      </c>
      <c r="C72" s="41"/>
      <c r="D72" s="40"/>
    </row>
    <row r="73" spans="1:6" x14ac:dyDescent="0.2">
      <c r="A73" s="52" t="s">
        <v>530</v>
      </c>
      <c r="B73" s="62" t="s">
        <v>95</v>
      </c>
      <c r="C73" s="41">
        <v>2000</v>
      </c>
      <c r="D73" s="40"/>
    </row>
    <row r="74" spans="1:6" x14ac:dyDescent="0.2">
      <c r="A74" s="173"/>
      <c r="B74" s="173"/>
      <c r="C74" s="173"/>
      <c r="D74" s="173"/>
    </row>
    <row r="75" spans="1:6" x14ac:dyDescent="0.2">
      <c r="A75" s="173"/>
      <c r="B75" s="173"/>
      <c r="C75" s="174">
        <f>SUM(C11:C73)</f>
        <v>924573.54999999993</v>
      </c>
      <c r="D75" s="173"/>
    </row>
    <row r="76" spans="1:6" x14ac:dyDescent="0.2">
      <c r="A76" s="173"/>
      <c r="B76" s="173"/>
      <c r="C76" s="193"/>
      <c r="D76" s="173"/>
    </row>
    <row r="77" spans="1:6" x14ac:dyDescent="0.2">
      <c r="A77" s="173"/>
      <c r="B77" s="173"/>
      <c r="C77" s="173"/>
      <c r="D77" s="173"/>
    </row>
    <row r="78" spans="1:6" x14ac:dyDescent="0.2">
      <c r="A78" s="173"/>
      <c r="B78" s="173"/>
      <c r="C78" s="173"/>
      <c r="D78" s="173"/>
    </row>
  </sheetData>
  <mergeCells count="4">
    <mergeCell ref="A1:D1"/>
    <mergeCell ref="A2:D2"/>
    <mergeCell ref="A3:D3"/>
    <mergeCell ref="A4:D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H68"/>
  <sheetViews>
    <sheetView showGridLines="0" workbookViewId="0">
      <selection activeCell="F15" sqref="F15"/>
    </sheetView>
  </sheetViews>
  <sheetFormatPr baseColWidth="10" defaultRowHeight="12.75" x14ac:dyDescent="0.2"/>
  <cols>
    <col min="2" max="2" width="51.28515625" customWidth="1"/>
    <col min="3" max="3" width="11.7109375" style="35" bestFit="1" customWidth="1"/>
    <col min="4" max="4" width="9.85546875" customWidth="1"/>
    <col min="5" max="8" width="11.42578125" style="4"/>
  </cols>
  <sheetData>
    <row r="1" spans="1:6" ht="18.75" x14ac:dyDescent="0.2">
      <c r="A1" s="540" t="s">
        <v>406</v>
      </c>
      <c r="B1" s="541"/>
      <c r="C1" s="541"/>
      <c r="D1" s="541"/>
    </row>
    <row r="2" spans="1:6" ht="15" x14ac:dyDescent="0.2">
      <c r="A2" s="542" t="s">
        <v>931</v>
      </c>
      <c r="B2" s="539"/>
      <c r="C2" s="539"/>
      <c r="D2" s="539"/>
    </row>
    <row r="3" spans="1:6" ht="15.75" customHeight="1" x14ac:dyDescent="0.2">
      <c r="A3" s="333">
        <v>3</v>
      </c>
      <c r="B3" s="354" t="s">
        <v>421</v>
      </c>
      <c r="C3" s="353"/>
      <c r="D3" s="353"/>
    </row>
    <row r="4" spans="1:6" ht="15.75" customHeight="1" x14ac:dyDescent="0.2">
      <c r="A4" s="336">
        <v>3.1</v>
      </c>
      <c r="B4" s="487" t="s">
        <v>422</v>
      </c>
      <c r="C4" s="353"/>
      <c r="D4" s="353"/>
    </row>
    <row r="5" spans="1:6" ht="17.25" customHeight="1" x14ac:dyDescent="0.2">
      <c r="A5" s="336" t="s">
        <v>423</v>
      </c>
      <c r="B5" s="489" t="s">
        <v>281</v>
      </c>
      <c r="C5" s="362"/>
      <c r="D5" s="353"/>
    </row>
    <row r="6" spans="1:6" x14ac:dyDescent="0.2">
      <c r="A6" s="149" t="s">
        <v>5</v>
      </c>
      <c r="B6" s="149" t="s">
        <v>6</v>
      </c>
      <c r="C6" s="132" t="s">
        <v>400</v>
      </c>
      <c r="D6" s="33" t="s">
        <v>7</v>
      </c>
      <c r="E6" s="18"/>
      <c r="F6" s="18"/>
    </row>
    <row r="7" spans="1:6" x14ac:dyDescent="0.2">
      <c r="A7" s="11"/>
      <c r="B7" s="12"/>
      <c r="C7" s="126"/>
      <c r="D7" s="33"/>
    </row>
    <row r="8" spans="1:6" x14ac:dyDescent="0.2">
      <c r="A8" s="63"/>
      <c r="B8" s="1" t="s">
        <v>7</v>
      </c>
      <c r="C8" s="40">
        <f>SUM(C9:C65)</f>
        <v>567673.86</v>
      </c>
      <c r="D8" s="40">
        <f>+D9+D57+D61</f>
        <v>567673.86</v>
      </c>
      <c r="E8" s="18"/>
    </row>
    <row r="9" spans="1:6" x14ac:dyDescent="0.2">
      <c r="A9" s="63">
        <v>5</v>
      </c>
      <c r="B9" s="1" t="s">
        <v>8</v>
      </c>
      <c r="C9" s="40"/>
      <c r="D9" s="40">
        <f>+D10+D34+D54</f>
        <v>541753.86</v>
      </c>
    </row>
    <row r="10" spans="1:6" x14ac:dyDescent="0.2">
      <c r="A10" s="42">
        <v>5.0999999999999996</v>
      </c>
      <c r="B10" s="43" t="s">
        <v>9</v>
      </c>
      <c r="C10" s="40"/>
      <c r="D10" s="40">
        <f>D11+D15+D24+D29+D32</f>
        <v>470742.08</v>
      </c>
    </row>
    <row r="11" spans="1:6" x14ac:dyDescent="0.2">
      <c r="A11" s="42" t="s">
        <v>10</v>
      </c>
      <c r="B11" s="43" t="s">
        <v>11</v>
      </c>
      <c r="C11" s="44"/>
      <c r="D11" s="44">
        <f>+C12+C13</f>
        <v>455121.73</v>
      </c>
    </row>
    <row r="12" spans="1:6" x14ac:dyDescent="0.2">
      <c r="A12" s="45" t="s">
        <v>251</v>
      </c>
      <c r="B12" s="46" t="s">
        <v>833</v>
      </c>
      <c r="C12" s="47">
        <f>383125.73+22520</f>
        <v>405645.73</v>
      </c>
      <c r="D12" s="47"/>
    </row>
    <row r="13" spans="1:6" x14ac:dyDescent="0.2">
      <c r="A13" s="45" t="s">
        <v>183</v>
      </c>
      <c r="B13" s="46" t="s">
        <v>832</v>
      </c>
      <c r="C13" s="41">
        <v>49476</v>
      </c>
      <c r="D13" s="41"/>
      <c r="E13" s="467"/>
      <c r="F13" s="86"/>
    </row>
    <row r="14" spans="1:6" x14ac:dyDescent="0.2">
      <c r="A14" s="45" t="s">
        <v>760</v>
      </c>
      <c r="B14" s="46" t="s">
        <v>831</v>
      </c>
      <c r="C14" s="41"/>
      <c r="D14" s="41"/>
      <c r="F14" s="86"/>
    </row>
    <row r="15" spans="1:6" x14ac:dyDescent="0.2">
      <c r="A15" s="42" t="s">
        <v>252</v>
      </c>
      <c r="B15" s="43" t="s">
        <v>253</v>
      </c>
      <c r="C15" s="47"/>
      <c r="D15" s="44">
        <f>SUM(C16:C17)</f>
        <v>5733.4</v>
      </c>
    </row>
    <row r="16" spans="1:6" x14ac:dyDescent="0.2">
      <c r="A16" s="45" t="s">
        <v>254</v>
      </c>
      <c r="B16" s="46" t="s">
        <v>255</v>
      </c>
      <c r="C16" s="47">
        <v>4123</v>
      </c>
      <c r="D16" s="47"/>
    </row>
    <row r="17" spans="1:4" x14ac:dyDescent="0.2">
      <c r="A17" s="45" t="s">
        <v>256</v>
      </c>
      <c r="B17" s="46" t="s">
        <v>257</v>
      </c>
      <c r="C17" s="47">
        <v>1610.4</v>
      </c>
      <c r="D17" s="47"/>
    </row>
    <row r="18" spans="1:4" x14ac:dyDescent="0.2">
      <c r="A18" s="54" t="s">
        <v>349</v>
      </c>
      <c r="B18" s="56" t="s">
        <v>350</v>
      </c>
      <c r="C18" s="47"/>
      <c r="D18" s="44">
        <f>+C19</f>
        <v>0</v>
      </c>
    </row>
    <row r="19" spans="1:4" x14ac:dyDescent="0.2">
      <c r="A19" s="57" t="s">
        <v>508</v>
      </c>
      <c r="B19" s="58" t="s">
        <v>509</v>
      </c>
      <c r="C19" s="48"/>
      <c r="D19" s="49"/>
    </row>
    <row r="20" spans="1:4" x14ac:dyDescent="0.2">
      <c r="A20" s="57" t="s">
        <v>351</v>
      </c>
      <c r="B20" s="58" t="s">
        <v>830</v>
      </c>
      <c r="C20" s="47"/>
      <c r="D20" s="44">
        <f>+C21+C22</f>
        <v>0</v>
      </c>
    </row>
    <row r="21" spans="1:4" x14ac:dyDescent="0.2">
      <c r="A21" s="42" t="s">
        <v>184</v>
      </c>
      <c r="B21" s="59" t="s">
        <v>185</v>
      </c>
      <c r="C21" s="48"/>
      <c r="D21" s="49"/>
    </row>
    <row r="22" spans="1:4" x14ac:dyDescent="0.2">
      <c r="A22" s="45" t="s">
        <v>277</v>
      </c>
      <c r="B22" s="60" t="s">
        <v>719</v>
      </c>
      <c r="C22" s="48"/>
      <c r="D22" s="49"/>
    </row>
    <row r="23" spans="1:4" x14ac:dyDescent="0.2">
      <c r="A23" s="45" t="s">
        <v>479</v>
      </c>
      <c r="B23" s="46" t="s">
        <v>480</v>
      </c>
      <c r="C23" s="48"/>
      <c r="D23" s="49"/>
    </row>
    <row r="24" spans="1:4" x14ac:dyDescent="0.2">
      <c r="A24" s="42" t="s">
        <v>187</v>
      </c>
      <c r="B24" s="43" t="s">
        <v>186</v>
      </c>
      <c r="C24" s="48"/>
      <c r="D24" s="216">
        <f>SUM(C25)</f>
        <v>0</v>
      </c>
    </row>
    <row r="25" spans="1:4" x14ac:dyDescent="0.2">
      <c r="A25" s="42" t="s">
        <v>766</v>
      </c>
      <c r="B25" s="43" t="s">
        <v>829</v>
      </c>
      <c r="C25" s="48"/>
      <c r="D25" s="49"/>
    </row>
    <row r="26" spans="1:4" x14ac:dyDescent="0.2">
      <c r="A26" s="45" t="s">
        <v>258</v>
      </c>
      <c r="B26" s="46" t="s">
        <v>259</v>
      </c>
      <c r="C26" s="48"/>
      <c r="D26" s="49"/>
    </row>
    <row r="27" spans="1:4" x14ac:dyDescent="0.2">
      <c r="A27" s="45" t="s">
        <v>769</v>
      </c>
      <c r="B27" s="46" t="s">
        <v>676</v>
      </c>
      <c r="C27" s="48"/>
      <c r="D27" s="49"/>
    </row>
    <row r="28" spans="1:4" x14ac:dyDescent="0.2">
      <c r="A28" s="45" t="s">
        <v>542</v>
      </c>
      <c r="B28" s="46" t="s">
        <v>543</v>
      </c>
      <c r="C28" s="48"/>
      <c r="D28" s="49"/>
    </row>
    <row r="29" spans="1:4" x14ac:dyDescent="0.2">
      <c r="A29" s="42" t="s">
        <v>12</v>
      </c>
      <c r="B29" s="43" t="s">
        <v>13</v>
      </c>
      <c r="C29" s="48"/>
      <c r="D29" s="216">
        <f>SUM(C30:C31)</f>
        <v>9886.9500000000007</v>
      </c>
    </row>
    <row r="30" spans="1:4" x14ac:dyDescent="0.2">
      <c r="A30" s="45" t="s">
        <v>260</v>
      </c>
      <c r="B30" s="46" t="s">
        <v>261</v>
      </c>
      <c r="C30" s="48">
        <v>5763.95</v>
      </c>
      <c r="D30" s="49"/>
    </row>
    <row r="31" spans="1:4" x14ac:dyDescent="0.2">
      <c r="A31" s="45" t="s">
        <v>510</v>
      </c>
      <c r="B31" s="46" t="s">
        <v>700</v>
      </c>
      <c r="C31" s="48">
        <v>4123</v>
      </c>
      <c r="D31" s="49"/>
    </row>
    <row r="32" spans="1:4" x14ac:dyDescent="0.2">
      <c r="A32" s="42" t="s">
        <v>302</v>
      </c>
      <c r="B32" s="43" t="s">
        <v>303</v>
      </c>
      <c r="C32" s="48"/>
      <c r="D32" s="216">
        <f>SUM(C33)</f>
        <v>0</v>
      </c>
    </row>
    <row r="33" spans="1:4" x14ac:dyDescent="0.2">
      <c r="A33" s="45" t="s">
        <v>768</v>
      </c>
      <c r="B33" s="46" t="s">
        <v>776</v>
      </c>
      <c r="C33" s="48"/>
      <c r="D33" s="49"/>
    </row>
    <row r="34" spans="1:4" x14ac:dyDescent="0.2">
      <c r="A34" s="63">
        <v>5.3</v>
      </c>
      <c r="B34" s="1" t="s">
        <v>14</v>
      </c>
      <c r="C34" s="40"/>
      <c r="D34" s="27">
        <f>+D35+D37+D41+D44+D47</f>
        <v>27188</v>
      </c>
    </row>
    <row r="35" spans="1:4" x14ac:dyDescent="0.2">
      <c r="A35" s="63" t="s">
        <v>15</v>
      </c>
      <c r="B35" s="1" t="s">
        <v>16</v>
      </c>
      <c r="C35" s="40"/>
      <c r="D35" s="27">
        <f>+C36</f>
        <v>2000</v>
      </c>
    </row>
    <row r="36" spans="1:4" x14ac:dyDescent="0.2">
      <c r="A36" s="57" t="s">
        <v>19</v>
      </c>
      <c r="B36" s="58" t="s">
        <v>20</v>
      </c>
      <c r="C36" s="41">
        <v>2000</v>
      </c>
      <c r="D36" s="41"/>
    </row>
    <row r="37" spans="1:4" x14ac:dyDescent="0.2">
      <c r="A37" s="54" t="s">
        <v>23</v>
      </c>
      <c r="B37" s="56" t="s">
        <v>4</v>
      </c>
      <c r="C37" s="40"/>
      <c r="D37" s="40">
        <f>SUM(C39:C40)</f>
        <v>8000</v>
      </c>
    </row>
    <row r="38" spans="1:4" x14ac:dyDescent="0.2">
      <c r="A38" s="57" t="s">
        <v>24</v>
      </c>
      <c r="B38" s="58" t="s">
        <v>386</v>
      </c>
      <c r="C38" s="41">
        <f>25000-25000</f>
        <v>0</v>
      </c>
      <c r="D38" s="40"/>
    </row>
    <row r="39" spans="1:4" ht="33.75" x14ac:dyDescent="0.2">
      <c r="A39" s="54" t="s">
        <v>26</v>
      </c>
      <c r="B39" s="59" t="s">
        <v>607</v>
      </c>
      <c r="C39" s="41">
        <v>7000</v>
      </c>
      <c r="D39" s="41"/>
    </row>
    <row r="40" spans="1:4" x14ac:dyDescent="0.2">
      <c r="A40" s="57" t="s">
        <v>595</v>
      </c>
      <c r="B40" s="60" t="s">
        <v>596</v>
      </c>
      <c r="C40" s="41">
        <v>1000</v>
      </c>
      <c r="D40" s="41"/>
    </row>
    <row r="41" spans="1:4" x14ac:dyDescent="0.2">
      <c r="A41" s="63" t="s">
        <v>33</v>
      </c>
      <c r="B41" s="1" t="s">
        <v>34</v>
      </c>
      <c r="C41" s="40"/>
      <c r="D41" s="27">
        <f>+C42+C43</f>
        <v>2000</v>
      </c>
    </row>
    <row r="42" spans="1:4" x14ac:dyDescent="0.2">
      <c r="A42" s="57" t="s">
        <v>35</v>
      </c>
      <c r="B42" s="58" t="s">
        <v>36</v>
      </c>
      <c r="C42" s="41">
        <v>1000</v>
      </c>
      <c r="D42" s="41"/>
    </row>
    <row r="43" spans="1:4" x14ac:dyDescent="0.2">
      <c r="A43" s="57" t="s">
        <v>37</v>
      </c>
      <c r="B43" s="58" t="s">
        <v>38</v>
      </c>
      <c r="C43" s="41">
        <v>1000</v>
      </c>
      <c r="D43" s="41"/>
    </row>
    <row r="44" spans="1:4" x14ac:dyDescent="0.2">
      <c r="A44" s="63" t="s">
        <v>39</v>
      </c>
      <c r="B44" s="1" t="s">
        <v>40</v>
      </c>
      <c r="C44" s="40"/>
      <c r="D44" s="27">
        <f>SUM(C45:C46)</f>
        <v>1500</v>
      </c>
    </row>
    <row r="45" spans="1:4" x14ac:dyDescent="0.2">
      <c r="A45" s="197" t="s">
        <v>43</v>
      </c>
      <c r="B45" s="64" t="s">
        <v>889</v>
      </c>
      <c r="C45" s="41">
        <v>1000</v>
      </c>
      <c r="D45" s="27"/>
    </row>
    <row r="46" spans="1:4" x14ac:dyDescent="0.2">
      <c r="A46" s="57" t="s">
        <v>94</v>
      </c>
      <c r="B46" s="58" t="s">
        <v>95</v>
      </c>
      <c r="C46" s="41">
        <v>500</v>
      </c>
      <c r="D46" s="41"/>
    </row>
    <row r="47" spans="1:4" x14ac:dyDescent="0.2">
      <c r="A47" s="63" t="s">
        <v>55</v>
      </c>
      <c r="B47" s="1" t="s">
        <v>165</v>
      </c>
      <c r="C47" s="40"/>
      <c r="D47" s="27">
        <f>SUM(C48:C53)</f>
        <v>13688</v>
      </c>
    </row>
    <row r="48" spans="1:4" x14ac:dyDescent="0.2">
      <c r="A48" s="57" t="s">
        <v>59</v>
      </c>
      <c r="B48" s="58" t="s">
        <v>837</v>
      </c>
      <c r="C48" s="41">
        <f>912+8600+536</f>
        <v>10048</v>
      </c>
      <c r="D48" s="41"/>
    </row>
    <row r="49" spans="1:8" x14ac:dyDescent="0.2">
      <c r="A49" s="57" t="s">
        <v>196</v>
      </c>
      <c r="B49" s="58" t="s">
        <v>179</v>
      </c>
      <c r="C49" s="41">
        <f>1000+500</f>
        <v>1500</v>
      </c>
      <c r="D49" s="41"/>
    </row>
    <row r="50" spans="1:8" x14ac:dyDescent="0.2">
      <c r="A50" s="57" t="s">
        <v>65</v>
      </c>
      <c r="B50" s="58" t="s">
        <v>280</v>
      </c>
      <c r="C50" s="41">
        <v>500</v>
      </c>
      <c r="D50" s="41"/>
    </row>
    <row r="51" spans="1:8" x14ac:dyDescent="0.2">
      <c r="A51" s="57" t="s">
        <v>180</v>
      </c>
      <c r="B51" s="58" t="s">
        <v>95</v>
      </c>
      <c r="C51" s="41">
        <f>500+1140</f>
        <v>1640</v>
      </c>
      <c r="D51" s="41"/>
    </row>
    <row r="52" spans="1:8" x14ac:dyDescent="0.2">
      <c r="A52" s="57" t="s">
        <v>67</v>
      </c>
      <c r="B52" s="58" t="s">
        <v>68</v>
      </c>
      <c r="C52" s="41">
        <v>0</v>
      </c>
      <c r="D52" s="41"/>
    </row>
    <row r="53" spans="1:8" s="34" customFormat="1" ht="22.5" x14ac:dyDescent="0.2">
      <c r="A53" s="52" t="s">
        <v>225</v>
      </c>
      <c r="B53" s="62" t="s">
        <v>279</v>
      </c>
      <c r="C53" s="53">
        <v>0</v>
      </c>
      <c r="D53" s="53"/>
      <c r="E53" s="28"/>
      <c r="F53" s="28"/>
      <c r="G53" s="28"/>
      <c r="H53" s="28"/>
    </row>
    <row r="54" spans="1:8" s="34" customFormat="1" x14ac:dyDescent="0.2">
      <c r="A54" s="54">
        <v>5.6</v>
      </c>
      <c r="B54" s="56" t="s">
        <v>82</v>
      </c>
      <c r="C54" s="40"/>
      <c r="D54" s="40">
        <f>+D55</f>
        <v>43823.78</v>
      </c>
      <c r="E54" s="28"/>
      <c r="F54" s="28"/>
      <c r="G54" s="28"/>
      <c r="H54" s="28"/>
    </row>
    <row r="55" spans="1:8" s="34" customFormat="1" x14ac:dyDescent="0.2">
      <c r="A55" s="54" t="s">
        <v>296</v>
      </c>
      <c r="B55" s="93" t="s">
        <v>297</v>
      </c>
      <c r="C55" s="40"/>
      <c r="D55" s="40">
        <f>+C56</f>
        <v>43823.78</v>
      </c>
      <c r="E55" s="28"/>
      <c r="F55" s="28"/>
      <c r="G55" s="28"/>
      <c r="H55" s="28"/>
    </row>
    <row r="56" spans="1:8" s="34" customFormat="1" x14ac:dyDescent="0.2">
      <c r="A56" s="57" t="s">
        <v>298</v>
      </c>
      <c r="B56" s="65" t="s">
        <v>299</v>
      </c>
      <c r="C56" s="41">
        <f>40000+3823.78</f>
        <v>43823.78</v>
      </c>
      <c r="D56" s="40"/>
      <c r="E56" s="28"/>
      <c r="F56" s="28"/>
      <c r="G56" s="28"/>
      <c r="H56" s="28"/>
    </row>
    <row r="57" spans="1:8" s="34" customFormat="1" x14ac:dyDescent="0.2">
      <c r="A57" s="54">
        <v>7</v>
      </c>
      <c r="B57" s="213" t="s">
        <v>86</v>
      </c>
      <c r="C57" s="41"/>
      <c r="D57" s="40">
        <f>SUM(D58)</f>
        <v>18440</v>
      </c>
      <c r="E57" s="28"/>
      <c r="F57" s="28"/>
      <c r="G57" s="28"/>
      <c r="H57" s="28"/>
    </row>
    <row r="58" spans="1:8" s="34" customFormat="1" x14ac:dyDescent="0.2">
      <c r="A58" s="54">
        <v>7.3</v>
      </c>
      <c r="B58" s="213" t="s">
        <v>609</v>
      </c>
      <c r="C58" s="41"/>
      <c r="D58" s="40">
        <f>SUM(D59)</f>
        <v>18440</v>
      </c>
      <c r="E58" s="28"/>
      <c r="F58" s="28"/>
      <c r="G58" s="28"/>
      <c r="H58" s="28"/>
    </row>
    <row r="59" spans="1:8" s="34" customFormat="1" x14ac:dyDescent="0.2">
      <c r="A59" s="54" t="s">
        <v>159</v>
      </c>
      <c r="B59" s="213" t="s">
        <v>610</v>
      </c>
      <c r="C59" s="41"/>
      <c r="D59" s="40">
        <f>SUM(C60)</f>
        <v>18440</v>
      </c>
      <c r="E59" s="28"/>
      <c r="F59" s="28"/>
      <c r="G59" s="28"/>
      <c r="H59" s="28"/>
    </row>
    <row r="60" spans="1:8" s="34" customFormat="1" ht="33.75" x14ac:dyDescent="0.2">
      <c r="A60" s="57" t="s">
        <v>305</v>
      </c>
      <c r="B60" s="65" t="s">
        <v>706</v>
      </c>
      <c r="C60" s="41">
        <f>15000+3440</f>
        <v>18440</v>
      </c>
      <c r="D60" s="40"/>
      <c r="E60" s="28"/>
      <c r="F60" s="28"/>
      <c r="G60" s="28"/>
      <c r="H60" s="28"/>
    </row>
    <row r="61" spans="1:8" x14ac:dyDescent="0.2">
      <c r="A61" s="63">
        <v>8</v>
      </c>
      <c r="B61" s="1" t="s">
        <v>74</v>
      </c>
      <c r="C61" s="40"/>
      <c r="D61" s="27">
        <f>+D62</f>
        <v>7480</v>
      </c>
    </row>
    <row r="62" spans="1:8" x14ac:dyDescent="0.2">
      <c r="A62" s="63">
        <v>8.4</v>
      </c>
      <c r="B62" s="1" t="s">
        <v>75</v>
      </c>
      <c r="C62" s="40"/>
      <c r="D62" s="27">
        <f>+D63</f>
        <v>7480</v>
      </c>
    </row>
    <row r="63" spans="1:8" x14ac:dyDescent="0.2">
      <c r="A63" s="63" t="s">
        <v>76</v>
      </c>
      <c r="B63" s="1" t="s">
        <v>77</v>
      </c>
      <c r="C63" s="40"/>
      <c r="D63" s="27">
        <f>SUM(C64:C65)</f>
        <v>7480</v>
      </c>
    </row>
    <row r="64" spans="1:8" x14ac:dyDescent="0.2">
      <c r="A64" s="52" t="s">
        <v>276</v>
      </c>
      <c r="B64" s="46" t="s">
        <v>611</v>
      </c>
      <c r="C64" s="41">
        <f>5000+2480</f>
        <v>7480</v>
      </c>
      <c r="D64" s="40"/>
    </row>
    <row r="65" spans="1:4" x14ac:dyDescent="0.2">
      <c r="A65" s="52" t="s">
        <v>283</v>
      </c>
      <c r="B65" s="58" t="s">
        <v>890</v>
      </c>
      <c r="C65" s="229"/>
      <c r="D65" s="118"/>
    </row>
    <row r="68" spans="1:4" x14ac:dyDescent="0.2">
      <c r="C68" s="39">
        <f>SUM(C9:C65)</f>
        <v>567673.86</v>
      </c>
    </row>
  </sheetData>
  <mergeCells count="2">
    <mergeCell ref="A1:D1"/>
    <mergeCell ref="A2:D2"/>
  </mergeCells>
  <pageMargins left="0.70866141732283472" right="0.70866141732283472" top="0.74803149606299213" bottom="0.74803149606299213" header="0.31496062992125984" footer="0.31496062992125984"/>
  <pageSetup scale="75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I232"/>
  <sheetViews>
    <sheetView showGridLines="0" workbookViewId="0">
      <selection activeCell="F9" sqref="F9"/>
    </sheetView>
  </sheetViews>
  <sheetFormatPr baseColWidth="10" defaultRowHeight="12.75" x14ac:dyDescent="0.2"/>
  <cols>
    <col min="1" max="1" width="10.42578125" style="88" bestFit="1" customWidth="1"/>
    <col min="2" max="2" width="44.85546875" style="81" customWidth="1"/>
    <col min="3" max="3" width="13.5703125" style="97" bestFit="1" customWidth="1"/>
    <col min="4" max="4" width="12.85546875" style="28" customWidth="1"/>
    <col min="5" max="5" width="12.85546875" style="28" bestFit="1" customWidth="1"/>
    <col min="6" max="6" width="11.42578125" style="28"/>
    <col min="7" max="8" width="13.42578125" style="28" bestFit="1" customWidth="1"/>
    <col min="9" max="16384" width="11.42578125" style="28"/>
  </cols>
  <sheetData>
    <row r="1" spans="1:9" ht="18.75" x14ac:dyDescent="0.2">
      <c r="A1" s="540" t="s">
        <v>406</v>
      </c>
      <c r="B1" s="541"/>
      <c r="C1" s="541"/>
      <c r="D1" s="541"/>
    </row>
    <row r="2" spans="1:9" ht="15" x14ac:dyDescent="0.2">
      <c r="A2" s="542" t="s">
        <v>931</v>
      </c>
      <c r="B2" s="539"/>
      <c r="C2" s="539"/>
      <c r="D2" s="539"/>
    </row>
    <row r="3" spans="1:9" ht="18" customHeight="1" x14ac:dyDescent="0.2">
      <c r="A3" s="363">
        <v>3</v>
      </c>
      <c r="B3" s="364" t="s">
        <v>421</v>
      </c>
      <c r="C3" s="365"/>
      <c r="D3" s="365"/>
    </row>
    <row r="4" spans="1:9" ht="18" customHeight="1" x14ac:dyDescent="0.2">
      <c r="A4" s="366">
        <v>3.2</v>
      </c>
      <c r="B4" s="367" t="s">
        <v>431</v>
      </c>
      <c r="C4" s="365"/>
      <c r="D4" s="365"/>
    </row>
    <row r="5" spans="1:9" ht="18" customHeight="1" x14ac:dyDescent="0.2">
      <c r="A5" s="366" t="s">
        <v>432</v>
      </c>
      <c r="B5" s="492" t="s">
        <v>447</v>
      </c>
      <c r="C5" s="368"/>
      <c r="D5" s="365"/>
    </row>
    <row r="6" spans="1:9" s="17" customFormat="1" x14ac:dyDescent="0.2">
      <c r="A6" s="15" t="s">
        <v>5</v>
      </c>
      <c r="B6" s="16" t="s">
        <v>6</v>
      </c>
      <c r="C6" s="126" t="s">
        <v>400</v>
      </c>
      <c r="D6" s="33" t="s">
        <v>7</v>
      </c>
      <c r="E6" s="476"/>
      <c r="F6" s="221"/>
      <c r="G6" s="221"/>
      <c r="H6" s="221"/>
      <c r="I6" s="221"/>
    </row>
    <row r="7" spans="1:9" s="17" customFormat="1" x14ac:dyDescent="0.2">
      <c r="A7" s="15"/>
      <c r="B7" s="16"/>
      <c r="C7" s="126"/>
      <c r="D7" s="33"/>
      <c r="I7" s="475"/>
    </row>
    <row r="8" spans="1:9" x14ac:dyDescent="0.2">
      <c r="A8" s="50"/>
      <c r="B8" s="87" t="s">
        <v>7</v>
      </c>
      <c r="C8" s="51">
        <f>SUM(C12:C104)</f>
        <v>9923581.0250000004</v>
      </c>
      <c r="D8" s="51">
        <f>+D9+D94+D97</f>
        <v>9923581.0250000004</v>
      </c>
      <c r="E8" s="70"/>
    </row>
    <row r="9" spans="1:9" x14ac:dyDescent="0.2">
      <c r="A9" s="50">
        <v>7</v>
      </c>
      <c r="B9" s="87" t="s">
        <v>86</v>
      </c>
      <c r="C9" s="51"/>
      <c r="D9" s="51">
        <f>+D10+D34+D59</f>
        <v>9257581.0250000004</v>
      </c>
    </row>
    <row r="10" spans="1:9" x14ac:dyDescent="0.2">
      <c r="A10" s="42">
        <v>7.1</v>
      </c>
      <c r="B10" s="43" t="s">
        <v>9</v>
      </c>
      <c r="C10" s="51"/>
      <c r="D10" s="51">
        <f>D11+D15+D18+D21+D24+D29+D32</f>
        <v>1008867.4550000001</v>
      </c>
    </row>
    <row r="11" spans="1:9" x14ac:dyDescent="0.2">
      <c r="A11" s="42" t="s">
        <v>151</v>
      </c>
      <c r="B11" s="43" t="s">
        <v>11</v>
      </c>
      <c r="C11" s="51"/>
      <c r="D11" s="51">
        <f>SUM(C12:C14)</f>
        <v>739214.38500000001</v>
      </c>
    </row>
    <row r="12" spans="1:9" x14ac:dyDescent="0.2">
      <c r="A12" s="45" t="s">
        <v>262</v>
      </c>
      <c r="B12" s="46" t="s">
        <v>833</v>
      </c>
      <c r="C12" s="53">
        <v>168876.51500000001</v>
      </c>
      <c r="D12" s="53"/>
    </row>
    <row r="13" spans="1:9" x14ac:dyDescent="0.2">
      <c r="A13" s="45" t="s">
        <v>271</v>
      </c>
      <c r="B13" s="46" t="s">
        <v>832</v>
      </c>
      <c r="C13" s="53">
        <v>119921.28</v>
      </c>
      <c r="D13" s="53"/>
      <c r="E13" s="468"/>
    </row>
    <row r="14" spans="1:9" x14ac:dyDescent="0.2">
      <c r="A14" s="45" t="s">
        <v>770</v>
      </c>
      <c r="B14" s="46" t="s">
        <v>831</v>
      </c>
      <c r="C14" s="53">
        <f>285269.59+38148+126999</f>
        <v>450416.59</v>
      </c>
      <c r="D14" s="51"/>
      <c r="E14" s="70"/>
      <c r="F14" s="70"/>
    </row>
    <row r="15" spans="1:9" x14ac:dyDescent="0.2">
      <c r="A15" s="42" t="s">
        <v>265</v>
      </c>
      <c r="B15" s="43" t="s">
        <v>253</v>
      </c>
      <c r="C15" s="53"/>
      <c r="D15" s="51">
        <f>SUM(C16:C17)</f>
        <v>73697.16</v>
      </c>
      <c r="E15" s="169"/>
    </row>
    <row r="16" spans="1:9" x14ac:dyDescent="0.2">
      <c r="A16" s="45" t="s">
        <v>263</v>
      </c>
      <c r="B16" s="46" t="s">
        <v>255</v>
      </c>
      <c r="C16" s="53">
        <f>9993.44+23772.47+3179+10583.25</f>
        <v>47528.160000000003</v>
      </c>
      <c r="D16" s="53"/>
      <c r="E16" s="169"/>
    </row>
    <row r="17" spans="1:4" x14ac:dyDescent="0.2">
      <c r="A17" s="45" t="s">
        <v>264</v>
      </c>
      <c r="B17" s="46" t="s">
        <v>257</v>
      </c>
      <c r="C17" s="228">
        <f>2818.2+13688.4+2013+7649.4</f>
        <v>26169</v>
      </c>
      <c r="D17" s="53"/>
    </row>
    <row r="18" spans="1:4" x14ac:dyDescent="0.2">
      <c r="A18" s="54" t="s">
        <v>464</v>
      </c>
      <c r="B18" s="56" t="s">
        <v>350</v>
      </c>
      <c r="C18" s="53"/>
      <c r="D18" s="51">
        <f>SUM(C19:C20)</f>
        <v>48720</v>
      </c>
    </row>
    <row r="19" spans="1:4" x14ac:dyDescent="0.2">
      <c r="A19" s="57" t="s">
        <v>771</v>
      </c>
      <c r="B19" s="58" t="s">
        <v>509</v>
      </c>
      <c r="C19" s="53">
        <f>4080+600+2280</f>
        <v>6960</v>
      </c>
      <c r="D19" s="53"/>
    </row>
    <row r="20" spans="1:4" x14ac:dyDescent="0.2">
      <c r="A20" s="57" t="s">
        <v>465</v>
      </c>
      <c r="B20" s="58" t="s">
        <v>830</v>
      </c>
      <c r="C20" s="53">
        <f>24480+3600+13680</f>
        <v>41760</v>
      </c>
      <c r="D20" s="53"/>
    </row>
    <row r="21" spans="1:4" x14ac:dyDescent="0.2">
      <c r="A21" s="42" t="s">
        <v>188</v>
      </c>
      <c r="B21" s="59" t="s">
        <v>185</v>
      </c>
      <c r="C21" s="53"/>
      <c r="D21" s="51">
        <f>SUM(C22:C23)</f>
        <v>11011.3</v>
      </c>
    </row>
    <row r="22" spans="1:4" x14ac:dyDescent="0.2">
      <c r="A22" s="45" t="s">
        <v>278</v>
      </c>
      <c r="B22" s="60" t="s">
        <v>719</v>
      </c>
      <c r="C22" s="53">
        <f>2705.47+193.25+1111.18</f>
        <v>4009.8999999999996</v>
      </c>
      <c r="D22" s="53"/>
    </row>
    <row r="23" spans="1:4" x14ac:dyDescent="0.2">
      <c r="A23" s="45" t="s">
        <v>481</v>
      </c>
      <c r="B23" s="46" t="s">
        <v>480</v>
      </c>
      <c r="C23" s="53">
        <f>3912.32+566.13+2522.95</f>
        <v>7001.4</v>
      </c>
      <c r="D23" s="51"/>
    </row>
    <row r="24" spans="1:4" x14ac:dyDescent="0.2">
      <c r="A24" s="42" t="s">
        <v>268</v>
      </c>
      <c r="B24" s="43" t="s">
        <v>186</v>
      </c>
      <c r="C24" s="53"/>
      <c r="D24" s="51">
        <f>SUM(C25:C28)</f>
        <v>20000</v>
      </c>
    </row>
    <row r="25" spans="1:4" x14ac:dyDescent="0.2">
      <c r="A25" s="45" t="s">
        <v>772</v>
      </c>
      <c r="B25" s="46" t="s">
        <v>829</v>
      </c>
      <c r="C25" s="53"/>
      <c r="D25" s="51"/>
    </row>
    <row r="26" spans="1:4" x14ac:dyDescent="0.2">
      <c r="A26" s="45" t="s">
        <v>269</v>
      </c>
      <c r="B26" s="46" t="s">
        <v>259</v>
      </c>
      <c r="C26" s="53">
        <v>20000</v>
      </c>
      <c r="D26" s="51"/>
    </row>
    <row r="27" spans="1:4" x14ac:dyDescent="0.2">
      <c r="A27" s="45" t="s">
        <v>675</v>
      </c>
      <c r="B27" s="46" t="s">
        <v>676</v>
      </c>
      <c r="C27" s="78">
        <v>0</v>
      </c>
      <c r="D27" s="110"/>
    </row>
    <row r="28" spans="1:4" x14ac:dyDescent="0.2">
      <c r="A28" s="45" t="s">
        <v>707</v>
      </c>
      <c r="B28" s="46" t="s">
        <v>543</v>
      </c>
      <c r="C28" s="78"/>
      <c r="D28" s="110"/>
    </row>
    <row r="29" spans="1:4" x14ac:dyDescent="0.2">
      <c r="A29" s="42" t="s">
        <v>266</v>
      </c>
      <c r="B29" s="43" t="s">
        <v>13</v>
      </c>
      <c r="C29" s="53"/>
      <c r="D29" s="51">
        <f>+C30+C31</f>
        <v>116224.61000000002</v>
      </c>
    </row>
    <row r="30" spans="1:4" x14ac:dyDescent="0.2">
      <c r="A30" s="45" t="s">
        <v>267</v>
      </c>
      <c r="B30" s="46" t="s">
        <v>261</v>
      </c>
      <c r="C30" s="78">
        <f>13970.83+34660.26+4634.98+15430.38</f>
        <v>68696.450000000012</v>
      </c>
      <c r="D30" s="110"/>
    </row>
    <row r="31" spans="1:4" x14ac:dyDescent="0.2">
      <c r="A31" s="45" t="s">
        <v>705</v>
      </c>
      <c r="B31" s="46" t="s">
        <v>700</v>
      </c>
      <c r="C31" s="78">
        <f>9993.44+23772.47+3179+10583.25</f>
        <v>47528.160000000003</v>
      </c>
      <c r="D31" s="110"/>
    </row>
    <row r="32" spans="1:4" x14ac:dyDescent="0.2">
      <c r="A32" s="42" t="s">
        <v>619</v>
      </c>
      <c r="B32" s="43" t="s">
        <v>303</v>
      </c>
      <c r="C32" s="78"/>
      <c r="D32" s="51">
        <f>SUM(C33)</f>
        <v>0</v>
      </c>
    </row>
    <row r="33" spans="1:4" x14ac:dyDescent="0.2">
      <c r="A33" s="45" t="s">
        <v>620</v>
      </c>
      <c r="B33" s="46" t="s">
        <v>776</v>
      </c>
      <c r="C33" s="78"/>
      <c r="D33" s="110"/>
    </row>
    <row r="34" spans="1:4" x14ac:dyDescent="0.2">
      <c r="A34" s="50">
        <v>7.3</v>
      </c>
      <c r="B34" s="87" t="s">
        <v>14</v>
      </c>
      <c r="C34" s="51"/>
      <c r="D34" s="51">
        <f>+D35+D37+D40+D43+D50+D46+D48</f>
        <v>464398</v>
      </c>
    </row>
    <row r="35" spans="1:4" x14ac:dyDescent="0.2">
      <c r="A35" s="50" t="s">
        <v>3</v>
      </c>
      <c r="B35" s="87" t="s">
        <v>16</v>
      </c>
      <c r="C35" s="51"/>
      <c r="D35" s="51">
        <f>+C36</f>
        <v>500</v>
      </c>
    </row>
    <row r="36" spans="1:4" x14ac:dyDescent="0.2">
      <c r="A36" s="52" t="s">
        <v>0</v>
      </c>
      <c r="B36" s="62" t="s">
        <v>20</v>
      </c>
      <c r="C36" s="53">
        <v>500</v>
      </c>
      <c r="D36" s="51"/>
    </row>
    <row r="37" spans="1:4" x14ac:dyDescent="0.2">
      <c r="A37" s="50" t="s">
        <v>152</v>
      </c>
      <c r="B37" s="87" t="s">
        <v>4</v>
      </c>
      <c r="C37" s="51"/>
      <c r="D37" s="51">
        <f>+C38+C39</f>
        <v>10000</v>
      </c>
    </row>
    <row r="38" spans="1:4" ht="22.5" x14ac:dyDescent="0.2">
      <c r="A38" s="52" t="s">
        <v>237</v>
      </c>
      <c r="B38" s="62" t="s">
        <v>282</v>
      </c>
      <c r="C38" s="53">
        <v>5000</v>
      </c>
      <c r="D38" s="53"/>
    </row>
    <row r="39" spans="1:4" x14ac:dyDescent="0.2">
      <c r="A39" s="52" t="s">
        <v>162</v>
      </c>
      <c r="B39" s="62" t="s">
        <v>284</v>
      </c>
      <c r="C39" s="53">
        <v>5000</v>
      </c>
      <c r="D39" s="53"/>
    </row>
    <row r="40" spans="1:4" ht="22.5" x14ac:dyDescent="0.2">
      <c r="A40" s="50" t="s">
        <v>153</v>
      </c>
      <c r="B40" s="87" t="s">
        <v>34</v>
      </c>
      <c r="C40" s="51"/>
      <c r="D40" s="51">
        <f>+C41+C42</f>
        <v>16500</v>
      </c>
    </row>
    <row r="41" spans="1:4" x14ac:dyDescent="0.2">
      <c r="A41" s="52" t="s">
        <v>154</v>
      </c>
      <c r="B41" s="62" t="s">
        <v>36</v>
      </c>
      <c r="C41" s="53">
        <v>1500</v>
      </c>
      <c r="D41" s="53"/>
    </row>
    <row r="42" spans="1:4" x14ac:dyDescent="0.2">
      <c r="A42" s="52" t="s">
        <v>155</v>
      </c>
      <c r="B42" s="62" t="s">
        <v>38</v>
      </c>
      <c r="C42" s="53">
        <v>15000</v>
      </c>
      <c r="D42" s="53"/>
    </row>
    <row r="43" spans="1:4" x14ac:dyDescent="0.2">
      <c r="A43" s="50" t="s">
        <v>156</v>
      </c>
      <c r="B43" s="87" t="s">
        <v>40</v>
      </c>
      <c r="C43" s="51"/>
      <c r="D43" s="51">
        <f>SUM(C44:C45)</f>
        <v>15000</v>
      </c>
    </row>
    <row r="44" spans="1:4" ht="22.5" x14ac:dyDescent="0.2">
      <c r="A44" s="52" t="s">
        <v>158</v>
      </c>
      <c r="B44" s="46" t="s">
        <v>848</v>
      </c>
      <c r="C44" s="53">
        <v>10000</v>
      </c>
      <c r="D44" s="51"/>
    </row>
    <row r="45" spans="1:4" x14ac:dyDescent="0.2">
      <c r="A45" s="52" t="s">
        <v>163</v>
      </c>
      <c r="B45" s="62" t="s">
        <v>849</v>
      </c>
      <c r="C45" s="53">
        <v>5000</v>
      </c>
      <c r="D45" s="53"/>
    </row>
    <row r="46" spans="1:4" s="102" customFormat="1" x14ac:dyDescent="0.2">
      <c r="A46" s="50" t="s">
        <v>309</v>
      </c>
      <c r="B46" s="87" t="s">
        <v>110</v>
      </c>
      <c r="C46" s="51"/>
      <c r="D46" s="51">
        <f>SUM(C47:C47)</f>
        <v>100000</v>
      </c>
    </row>
    <row r="47" spans="1:4" x14ac:dyDescent="0.2">
      <c r="A47" s="52" t="s">
        <v>310</v>
      </c>
      <c r="B47" s="62" t="s">
        <v>311</v>
      </c>
      <c r="C47" s="53">
        <v>100000</v>
      </c>
      <c r="D47" s="53"/>
    </row>
    <row r="48" spans="1:4" x14ac:dyDescent="0.2">
      <c r="A48" s="50" t="s">
        <v>141</v>
      </c>
      <c r="B48" s="87" t="s">
        <v>482</v>
      </c>
      <c r="C48" s="51"/>
      <c r="D48" s="51">
        <f>SUM(C49:C49)</f>
        <v>0</v>
      </c>
    </row>
    <row r="49" spans="1:5" x14ac:dyDescent="0.2">
      <c r="A49" s="52" t="s">
        <v>143</v>
      </c>
      <c r="B49" s="66" t="s">
        <v>483</v>
      </c>
      <c r="C49" s="53">
        <f>800000-800000</f>
        <v>0</v>
      </c>
      <c r="D49" s="201"/>
    </row>
    <row r="50" spans="1:5" x14ac:dyDescent="0.2">
      <c r="A50" s="50" t="s">
        <v>159</v>
      </c>
      <c r="B50" s="87" t="s">
        <v>165</v>
      </c>
      <c r="C50" s="51" t="s">
        <v>147</v>
      </c>
      <c r="D50" s="51">
        <f>SUM(C51:C58)</f>
        <v>322398</v>
      </c>
    </row>
    <row r="51" spans="1:5" x14ac:dyDescent="0.2">
      <c r="A51" s="52" t="s">
        <v>160</v>
      </c>
      <c r="B51" s="62" t="s">
        <v>837</v>
      </c>
      <c r="C51" s="78">
        <f>1596+5746+845+3211</f>
        <v>11398</v>
      </c>
      <c r="D51" s="201"/>
    </row>
    <row r="52" spans="1:5" x14ac:dyDescent="0.2">
      <c r="A52" s="52" t="s">
        <v>192</v>
      </c>
      <c r="B52" s="62" t="s">
        <v>636</v>
      </c>
      <c r="C52" s="53">
        <v>1000</v>
      </c>
      <c r="D52" s="53"/>
    </row>
    <row r="53" spans="1:5" x14ac:dyDescent="0.2">
      <c r="A53" s="52" t="s">
        <v>164</v>
      </c>
      <c r="B53" s="62" t="s">
        <v>95</v>
      </c>
      <c r="C53" s="53">
        <v>10000</v>
      </c>
      <c r="D53" s="53"/>
    </row>
    <row r="54" spans="1:5" x14ac:dyDescent="0.2">
      <c r="A54" s="52" t="s">
        <v>354</v>
      </c>
      <c r="B54" s="62" t="s">
        <v>355</v>
      </c>
      <c r="C54" s="53">
        <v>0</v>
      </c>
      <c r="D54" s="53"/>
    </row>
    <row r="55" spans="1:5" ht="22.5" x14ac:dyDescent="0.2">
      <c r="A55" s="50" t="s">
        <v>305</v>
      </c>
      <c r="B55" s="87" t="s">
        <v>313</v>
      </c>
      <c r="C55" s="51"/>
      <c r="D55" s="51"/>
    </row>
    <row r="56" spans="1:5" ht="22.5" x14ac:dyDescent="0.2">
      <c r="A56" s="52" t="s">
        <v>314</v>
      </c>
      <c r="B56" s="62" t="s">
        <v>342</v>
      </c>
      <c r="C56" s="53">
        <v>100000</v>
      </c>
      <c r="D56" s="53"/>
    </row>
    <row r="57" spans="1:5" ht="22.5" x14ac:dyDescent="0.2">
      <c r="A57" s="52" t="s">
        <v>782</v>
      </c>
      <c r="B57" s="62" t="s">
        <v>850</v>
      </c>
      <c r="C57" s="490">
        <v>200000</v>
      </c>
      <c r="D57" s="53"/>
      <c r="E57" s="169"/>
    </row>
    <row r="58" spans="1:5" ht="22.5" x14ac:dyDescent="0.2">
      <c r="A58" s="52" t="s">
        <v>494</v>
      </c>
      <c r="B58" s="62" t="s">
        <v>410</v>
      </c>
      <c r="C58" s="219">
        <f>70729.34-70729.34</f>
        <v>0</v>
      </c>
      <c r="D58" s="53"/>
    </row>
    <row r="59" spans="1:5" x14ac:dyDescent="0.2">
      <c r="A59" s="50">
        <v>7.5</v>
      </c>
      <c r="B59" s="87" t="s">
        <v>87</v>
      </c>
      <c r="C59" s="51"/>
      <c r="D59" s="51">
        <f>+D60+D81</f>
        <v>7784315.5700000003</v>
      </c>
    </row>
    <row r="60" spans="1:5" x14ac:dyDescent="0.2">
      <c r="A60" s="50" t="s">
        <v>88</v>
      </c>
      <c r="B60" s="87" t="s">
        <v>99</v>
      </c>
      <c r="C60" s="51"/>
      <c r="D60" s="51">
        <f>+D63+D65+D72+D61</f>
        <v>7754315.5700000003</v>
      </c>
    </row>
    <row r="61" spans="1:5" x14ac:dyDescent="0.2">
      <c r="A61" s="50" t="s">
        <v>367</v>
      </c>
      <c r="B61" s="87" t="s">
        <v>368</v>
      </c>
      <c r="C61" s="51"/>
      <c r="D61" s="51">
        <f>SUM(C62:C62)</f>
        <v>247157.18</v>
      </c>
    </row>
    <row r="62" spans="1:5" x14ac:dyDescent="0.2">
      <c r="A62" s="52" t="s">
        <v>390</v>
      </c>
      <c r="B62" s="60" t="s">
        <v>851</v>
      </c>
      <c r="C62" s="53">
        <f>247157.18</f>
        <v>247157.18</v>
      </c>
      <c r="D62" s="51"/>
    </row>
    <row r="63" spans="1:5" x14ac:dyDescent="0.2">
      <c r="A63" s="50" t="s">
        <v>100</v>
      </c>
      <c r="B63" s="87" t="s">
        <v>101</v>
      </c>
      <c r="C63" s="51"/>
      <c r="D63" s="51">
        <f>SUM(C64:C64)</f>
        <v>0</v>
      </c>
    </row>
    <row r="64" spans="1:5" x14ac:dyDescent="0.2">
      <c r="A64" s="52" t="s">
        <v>270</v>
      </c>
      <c r="B64" s="66" t="s">
        <v>743</v>
      </c>
      <c r="C64" s="53"/>
      <c r="D64" s="51"/>
    </row>
    <row r="65" spans="1:8" s="17" customFormat="1" x14ac:dyDescent="0.2">
      <c r="A65" s="50" t="s">
        <v>102</v>
      </c>
      <c r="B65" s="87" t="s">
        <v>148</v>
      </c>
      <c r="C65" s="51"/>
      <c r="D65" s="51">
        <f>SUM(C66:C71)</f>
        <v>6563694.4700000007</v>
      </c>
    </row>
    <row r="66" spans="1:8" x14ac:dyDescent="0.2">
      <c r="A66" s="52" t="s">
        <v>193</v>
      </c>
      <c r="B66" s="62" t="s">
        <v>852</v>
      </c>
      <c r="C66" s="53"/>
      <c r="D66" s="51"/>
      <c r="F66" s="221"/>
    </row>
    <row r="67" spans="1:8" ht="22.5" x14ac:dyDescent="0.2">
      <c r="A67" s="52" t="s">
        <v>272</v>
      </c>
      <c r="B67" s="66" t="s">
        <v>937</v>
      </c>
      <c r="C67" s="53"/>
      <c r="D67" s="201"/>
      <c r="E67" s="515"/>
    </row>
    <row r="68" spans="1:8" x14ac:dyDescent="0.2">
      <c r="A68" s="52" t="s">
        <v>744</v>
      </c>
      <c r="B68" s="66" t="s">
        <v>853</v>
      </c>
      <c r="C68" s="65">
        <v>15000</v>
      </c>
      <c r="D68" s="53"/>
    </row>
    <row r="69" spans="1:8" x14ac:dyDescent="0.2">
      <c r="A69" s="52" t="s">
        <v>745</v>
      </c>
      <c r="B69" s="66" t="s">
        <v>382</v>
      </c>
      <c r="C69" s="65">
        <v>30000</v>
      </c>
      <c r="D69" s="53"/>
    </row>
    <row r="70" spans="1:8" ht="22.5" x14ac:dyDescent="0.2">
      <c r="A70" s="52" t="s">
        <v>783</v>
      </c>
      <c r="B70" s="66" t="s">
        <v>854</v>
      </c>
      <c r="C70" s="109"/>
      <c r="D70" s="53"/>
      <c r="E70" s="221"/>
    </row>
    <row r="71" spans="1:8" ht="33.75" x14ac:dyDescent="0.2">
      <c r="A71" s="52" t="s">
        <v>784</v>
      </c>
      <c r="B71" s="66" t="s">
        <v>952</v>
      </c>
      <c r="C71" s="109">
        <f>4828928.24+1689766.23</f>
        <v>6518694.4700000007</v>
      </c>
      <c r="D71" s="53"/>
      <c r="E71" s="503"/>
      <c r="F71" s="504"/>
      <c r="G71" s="504"/>
      <c r="H71" s="504"/>
    </row>
    <row r="72" spans="1:8" x14ac:dyDescent="0.2">
      <c r="A72" s="98" t="s">
        <v>103</v>
      </c>
      <c r="B72" s="87" t="s">
        <v>104</v>
      </c>
      <c r="C72" s="51"/>
      <c r="D72" s="51">
        <f>SUM(C73:C80)</f>
        <v>943463.91999999993</v>
      </c>
    </row>
    <row r="73" spans="1:8" x14ac:dyDescent="0.2">
      <c r="A73" s="52" t="s">
        <v>105</v>
      </c>
      <c r="B73" s="62" t="s">
        <v>202</v>
      </c>
      <c r="C73" s="53">
        <v>423463.92</v>
      </c>
      <c r="D73" s="53"/>
      <c r="E73" s="515"/>
    </row>
    <row r="74" spans="1:8" x14ac:dyDescent="0.2">
      <c r="A74" s="52" t="s">
        <v>136</v>
      </c>
      <c r="B74" s="62" t="s">
        <v>855</v>
      </c>
      <c r="C74" s="53">
        <f>247500-247500</f>
        <v>0</v>
      </c>
      <c r="D74" s="53"/>
    </row>
    <row r="75" spans="1:8" x14ac:dyDescent="0.2">
      <c r="A75" s="52" t="s">
        <v>137</v>
      </c>
      <c r="B75" s="62" t="s">
        <v>320</v>
      </c>
      <c r="C75" s="53">
        <v>20000</v>
      </c>
      <c r="D75" s="53"/>
    </row>
    <row r="76" spans="1:8" x14ac:dyDescent="0.2">
      <c r="A76" s="52" t="s">
        <v>138</v>
      </c>
      <c r="B76" s="74" t="s">
        <v>388</v>
      </c>
      <c r="C76" s="491">
        <v>100000</v>
      </c>
      <c r="D76" s="53"/>
    </row>
    <row r="77" spans="1:8" x14ac:dyDescent="0.2">
      <c r="A77" s="52" t="s">
        <v>289</v>
      </c>
      <c r="B77" s="74" t="s">
        <v>825</v>
      </c>
      <c r="C77" s="491">
        <v>150000</v>
      </c>
      <c r="D77" s="53"/>
    </row>
    <row r="78" spans="1:8" x14ac:dyDescent="0.2">
      <c r="A78" s="52" t="s">
        <v>290</v>
      </c>
      <c r="B78" s="66" t="s">
        <v>752</v>
      </c>
      <c r="C78" s="53"/>
      <c r="D78" s="53"/>
    </row>
    <row r="79" spans="1:8" x14ac:dyDescent="0.2">
      <c r="A79" s="52" t="s">
        <v>324</v>
      </c>
      <c r="B79" s="66" t="s">
        <v>935</v>
      </c>
      <c r="C79" s="53">
        <v>250000</v>
      </c>
      <c r="D79" s="53"/>
    </row>
    <row r="80" spans="1:8" x14ac:dyDescent="0.2">
      <c r="A80" s="52" t="s">
        <v>389</v>
      </c>
      <c r="B80" s="66" t="s">
        <v>936</v>
      </c>
      <c r="C80" s="53"/>
      <c r="D80" s="53"/>
    </row>
    <row r="81" spans="1:5" x14ac:dyDescent="0.2">
      <c r="A81" s="50" t="s">
        <v>173</v>
      </c>
      <c r="B81" s="87" t="s">
        <v>174</v>
      </c>
      <c r="C81" s="51"/>
      <c r="D81" s="51">
        <f>+D82</f>
        <v>30000</v>
      </c>
    </row>
    <row r="82" spans="1:5" x14ac:dyDescent="0.2">
      <c r="A82" s="50" t="s">
        <v>175</v>
      </c>
      <c r="B82" s="87" t="s">
        <v>176</v>
      </c>
      <c r="C82" s="51"/>
      <c r="D82" s="51">
        <f>SUM(C83:C93)</f>
        <v>30000</v>
      </c>
    </row>
    <row r="83" spans="1:5" x14ac:dyDescent="0.2">
      <c r="A83" s="52" t="s">
        <v>223</v>
      </c>
      <c r="B83" s="62" t="s">
        <v>746</v>
      </c>
      <c r="C83" s="78">
        <v>0</v>
      </c>
      <c r="D83" s="53"/>
    </row>
    <row r="84" spans="1:5" x14ac:dyDescent="0.2">
      <c r="A84" s="52" t="s">
        <v>224</v>
      </c>
      <c r="B84" s="62" t="s">
        <v>357</v>
      </c>
      <c r="C84" s="78">
        <v>0</v>
      </c>
      <c r="D84" s="53"/>
    </row>
    <row r="85" spans="1:5" ht="22.5" x14ac:dyDescent="0.2">
      <c r="A85" s="52" t="s">
        <v>240</v>
      </c>
      <c r="B85" s="62" t="s">
        <v>358</v>
      </c>
      <c r="C85" s="78">
        <v>0</v>
      </c>
      <c r="D85" s="53"/>
    </row>
    <row r="86" spans="1:5" x14ac:dyDescent="0.2">
      <c r="A86" s="52" t="s">
        <v>241</v>
      </c>
      <c r="B86" s="62" t="s">
        <v>359</v>
      </c>
      <c r="C86" s="78">
        <v>20000</v>
      </c>
      <c r="D86" s="53"/>
    </row>
    <row r="87" spans="1:5" x14ac:dyDescent="0.2">
      <c r="A87" s="52" t="s">
        <v>247</v>
      </c>
      <c r="B87" s="62" t="s">
        <v>360</v>
      </c>
      <c r="C87" s="78">
        <v>0</v>
      </c>
      <c r="D87" s="53"/>
    </row>
    <row r="88" spans="1:5" x14ac:dyDescent="0.2">
      <c r="A88" s="52" t="s">
        <v>274</v>
      </c>
      <c r="B88" s="62" t="s">
        <v>461</v>
      </c>
      <c r="C88" s="78">
        <v>10000</v>
      </c>
      <c r="D88" s="53"/>
    </row>
    <row r="89" spans="1:5" x14ac:dyDescent="0.2">
      <c r="A89" s="52" t="s">
        <v>369</v>
      </c>
      <c r="B89" s="62" t="s">
        <v>856</v>
      </c>
      <c r="C89" s="78">
        <v>0</v>
      </c>
      <c r="D89" s="53"/>
    </row>
    <row r="90" spans="1:5" x14ac:dyDescent="0.2">
      <c r="A90" s="52" t="s">
        <v>370</v>
      </c>
      <c r="B90" s="62" t="s">
        <v>380</v>
      </c>
      <c r="C90" s="78">
        <v>0</v>
      </c>
      <c r="D90" s="53"/>
    </row>
    <row r="91" spans="1:5" x14ac:dyDescent="0.2">
      <c r="A91" s="52" t="s">
        <v>371</v>
      </c>
      <c r="B91" s="62" t="s">
        <v>353</v>
      </c>
      <c r="C91" s="78">
        <v>0</v>
      </c>
      <c r="D91" s="53"/>
    </row>
    <row r="92" spans="1:5" x14ac:dyDescent="0.2">
      <c r="A92" s="52" t="s">
        <v>372</v>
      </c>
      <c r="B92" s="62" t="s">
        <v>387</v>
      </c>
      <c r="C92" s="78"/>
      <c r="D92" s="53"/>
    </row>
    <row r="93" spans="1:5" x14ac:dyDescent="0.2">
      <c r="A93" s="52" t="s">
        <v>373</v>
      </c>
      <c r="B93" s="62" t="s">
        <v>460</v>
      </c>
      <c r="C93" s="78"/>
      <c r="D93" s="53"/>
      <c r="E93" s="383"/>
    </row>
    <row r="94" spans="1:5" x14ac:dyDescent="0.2">
      <c r="A94" s="50">
        <v>7.8</v>
      </c>
      <c r="B94" s="87" t="s">
        <v>755</v>
      </c>
      <c r="C94" s="78"/>
      <c r="D94" s="51">
        <f>+D95</f>
        <v>0</v>
      </c>
      <c r="E94" s="221"/>
    </row>
    <row r="95" spans="1:5" x14ac:dyDescent="0.2">
      <c r="A95" s="50" t="s">
        <v>248</v>
      </c>
      <c r="B95" s="87" t="s">
        <v>756</v>
      </c>
      <c r="C95" s="78"/>
      <c r="D95" s="51">
        <f>+C96</f>
        <v>0</v>
      </c>
      <c r="E95" s="221"/>
    </row>
    <row r="96" spans="1:5" x14ac:dyDescent="0.2">
      <c r="A96" s="52" t="s">
        <v>757</v>
      </c>
      <c r="B96" s="62" t="s">
        <v>758</v>
      </c>
      <c r="C96" s="78"/>
      <c r="D96" s="53"/>
      <c r="E96" s="221"/>
    </row>
    <row r="97" spans="1:4" x14ac:dyDescent="0.2">
      <c r="A97" s="50">
        <v>8</v>
      </c>
      <c r="B97" s="87" t="s">
        <v>74</v>
      </c>
      <c r="C97" s="51"/>
      <c r="D97" s="51">
        <f>+D98</f>
        <v>666000</v>
      </c>
    </row>
    <row r="98" spans="1:4" x14ac:dyDescent="0.2">
      <c r="A98" s="50">
        <v>8.4</v>
      </c>
      <c r="B98" s="87" t="s">
        <v>75</v>
      </c>
      <c r="C98" s="51"/>
      <c r="D98" s="51">
        <f>+D99+D103</f>
        <v>666000</v>
      </c>
    </row>
    <row r="99" spans="1:4" x14ac:dyDescent="0.2">
      <c r="A99" s="50" t="s">
        <v>76</v>
      </c>
      <c r="B99" s="87" t="s">
        <v>77</v>
      </c>
      <c r="C99" s="51"/>
      <c r="D99" s="51">
        <f>SUM(C100:C102)</f>
        <v>16000</v>
      </c>
    </row>
    <row r="100" spans="1:4" x14ac:dyDescent="0.2">
      <c r="A100" s="52" t="s">
        <v>301</v>
      </c>
      <c r="B100" s="62" t="s">
        <v>149</v>
      </c>
      <c r="C100" s="53">
        <v>1000</v>
      </c>
      <c r="D100" s="51"/>
    </row>
    <row r="101" spans="1:4" s="38" customFormat="1" x14ac:dyDescent="0.2">
      <c r="A101" s="52" t="s">
        <v>276</v>
      </c>
      <c r="B101" s="46" t="s">
        <v>1</v>
      </c>
      <c r="C101" s="53"/>
      <c r="D101" s="53"/>
    </row>
    <row r="102" spans="1:4" s="38" customFormat="1" x14ac:dyDescent="0.2">
      <c r="A102" s="52" t="s">
        <v>485</v>
      </c>
      <c r="B102" s="46" t="s">
        <v>947</v>
      </c>
      <c r="C102" s="53">
        <v>15000</v>
      </c>
      <c r="D102" s="53"/>
    </row>
    <row r="103" spans="1:4" x14ac:dyDescent="0.2">
      <c r="A103" s="50" t="s">
        <v>106</v>
      </c>
      <c r="B103" s="87" t="s">
        <v>785</v>
      </c>
      <c r="C103" s="51"/>
      <c r="D103" s="51">
        <f>SUM(C104:C104)</f>
        <v>650000</v>
      </c>
    </row>
    <row r="104" spans="1:4" x14ac:dyDescent="0.2">
      <c r="A104" s="67" t="s">
        <v>592</v>
      </c>
      <c r="B104" s="62" t="s">
        <v>751</v>
      </c>
      <c r="C104" s="53">
        <f>400000+250000</f>
        <v>650000</v>
      </c>
      <c r="D104" s="53"/>
    </row>
    <row r="105" spans="1:4" x14ac:dyDescent="0.2">
      <c r="A105" s="79"/>
      <c r="B105" s="96"/>
      <c r="C105" s="69"/>
      <c r="D105" s="69"/>
    </row>
    <row r="106" spans="1:4" x14ac:dyDescent="0.2">
      <c r="A106" s="79"/>
      <c r="B106" s="96"/>
      <c r="C106" s="69"/>
      <c r="D106" s="69"/>
    </row>
    <row r="107" spans="1:4" x14ac:dyDescent="0.2">
      <c r="A107" s="79"/>
      <c r="B107" s="96"/>
      <c r="C107" s="69">
        <f>SUM(C9:C104)</f>
        <v>9923581.0250000004</v>
      </c>
      <c r="D107" s="69"/>
    </row>
    <row r="108" spans="1:4" x14ac:dyDescent="0.2">
      <c r="A108" s="79"/>
      <c r="B108" s="96"/>
      <c r="C108" s="69"/>
      <c r="D108" s="69"/>
    </row>
    <row r="109" spans="1:4" x14ac:dyDescent="0.2">
      <c r="A109" s="79"/>
      <c r="B109" s="96"/>
      <c r="C109" s="69"/>
      <c r="D109" s="69"/>
    </row>
    <row r="110" spans="1:4" x14ac:dyDescent="0.2">
      <c r="A110" s="79"/>
      <c r="B110" s="96"/>
      <c r="C110" s="69"/>
      <c r="D110" s="69"/>
    </row>
    <row r="111" spans="1:4" x14ac:dyDescent="0.2">
      <c r="A111" s="79"/>
      <c r="B111" s="96"/>
      <c r="C111" s="69"/>
      <c r="D111" s="69"/>
    </row>
    <row r="112" spans="1:4" x14ac:dyDescent="0.2">
      <c r="A112" s="79"/>
      <c r="B112" s="96"/>
      <c r="C112" s="69"/>
      <c r="D112" s="69"/>
    </row>
    <row r="113" spans="1:5" x14ac:dyDescent="0.2">
      <c r="A113" s="79"/>
      <c r="B113" s="96"/>
      <c r="C113" s="69"/>
      <c r="D113" s="69"/>
    </row>
    <row r="114" spans="1:5" x14ac:dyDescent="0.2">
      <c r="A114" s="79"/>
      <c r="B114" s="96"/>
      <c r="C114" s="69"/>
      <c r="D114" s="69"/>
    </row>
    <row r="115" spans="1:5" x14ac:dyDescent="0.2">
      <c r="A115" s="79"/>
      <c r="B115" s="96"/>
      <c r="C115" s="69"/>
      <c r="D115" s="69"/>
    </row>
    <row r="116" spans="1:5" x14ac:dyDescent="0.2">
      <c r="A116" s="79"/>
      <c r="B116" s="96"/>
      <c r="C116" s="69"/>
      <c r="D116" s="69"/>
    </row>
    <row r="117" spans="1:5" x14ac:dyDescent="0.2">
      <c r="A117" s="79"/>
      <c r="B117" s="96"/>
      <c r="C117" s="69"/>
      <c r="D117" s="69"/>
    </row>
    <row r="118" spans="1:5" x14ac:dyDescent="0.2">
      <c r="A118" s="79"/>
      <c r="B118" s="96"/>
      <c r="C118" s="69"/>
      <c r="D118" s="69"/>
    </row>
    <row r="119" spans="1:5" x14ac:dyDescent="0.2">
      <c r="A119" s="79"/>
      <c r="B119" s="96"/>
      <c r="C119" s="69"/>
      <c r="D119" s="69"/>
    </row>
    <row r="120" spans="1:5" x14ac:dyDescent="0.2">
      <c r="A120" s="79"/>
      <c r="B120" s="96"/>
      <c r="C120" s="69"/>
      <c r="D120" s="69"/>
    </row>
    <row r="121" spans="1:5" x14ac:dyDescent="0.2">
      <c r="A121" s="79"/>
      <c r="B121" s="96"/>
      <c r="C121" s="69"/>
      <c r="D121" s="69"/>
    </row>
    <row r="122" spans="1:5" x14ac:dyDescent="0.2">
      <c r="A122" s="557"/>
      <c r="B122" s="557"/>
      <c r="C122" s="557"/>
      <c r="D122" s="557"/>
      <c r="E122" s="557"/>
    </row>
    <row r="123" spans="1:5" x14ac:dyDescent="0.2">
      <c r="A123" s="79"/>
      <c r="B123" s="96"/>
      <c r="C123" s="69"/>
      <c r="D123" s="69"/>
      <c r="E123" s="237"/>
    </row>
    <row r="124" spans="1:5" x14ac:dyDescent="0.2">
      <c r="A124" s="79"/>
      <c r="B124" s="556"/>
      <c r="C124" s="556"/>
      <c r="D124" s="69"/>
      <c r="E124" s="237"/>
    </row>
    <row r="125" spans="1:5" x14ac:dyDescent="0.2">
      <c r="A125" s="79"/>
      <c r="B125" s="96"/>
      <c r="C125" s="69"/>
      <c r="D125" s="69"/>
      <c r="E125" s="237"/>
    </row>
    <row r="126" spans="1:5" x14ac:dyDescent="0.2">
      <c r="A126" s="79"/>
      <c r="B126" s="96"/>
      <c r="C126" s="69"/>
      <c r="D126" s="69"/>
      <c r="E126" s="237"/>
    </row>
    <row r="127" spans="1:5" x14ac:dyDescent="0.2">
      <c r="A127" s="79"/>
      <c r="B127" s="80"/>
      <c r="C127" s="69"/>
      <c r="D127" s="69"/>
      <c r="E127" s="237"/>
    </row>
    <row r="128" spans="1:5" s="77" customFormat="1" ht="11.25" x14ac:dyDescent="0.2">
      <c r="A128" s="79"/>
      <c r="B128" s="80"/>
      <c r="C128" s="79"/>
      <c r="D128" s="80"/>
      <c r="E128" s="95"/>
    </row>
    <row r="129" spans="1:5" s="77" customFormat="1" ht="11.25" x14ac:dyDescent="0.2">
      <c r="A129" s="106"/>
      <c r="B129" s="96"/>
      <c r="C129" s="69"/>
      <c r="D129" s="69"/>
      <c r="E129" s="95"/>
    </row>
    <row r="130" spans="1:5" s="77" customFormat="1" ht="11.25" x14ac:dyDescent="0.2">
      <c r="A130" s="106"/>
      <c r="B130" s="96"/>
      <c r="C130" s="69"/>
      <c r="D130" s="69"/>
      <c r="E130" s="95"/>
    </row>
    <row r="131" spans="1:5" s="77" customFormat="1" ht="11.25" x14ac:dyDescent="0.2">
      <c r="A131" s="106"/>
      <c r="B131" s="96"/>
      <c r="C131" s="69"/>
      <c r="D131" s="69"/>
      <c r="E131" s="95"/>
    </row>
    <row r="132" spans="1:5" s="77" customFormat="1" ht="11.25" x14ac:dyDescent="0.2">
      <c r="A132" s="106"/>
      <c r="B132" s="96"/>
      <c r="C132" s="69"/>
      <c r="D132" s="69"/>
      <c r="E132" s="95"/>
    </row>
    <row r="133" spans="1:5" s="77" customFormat="1" ht="11.25" x14ac:dyDescent="0.2">
      <c r="A133" s="106"/>
      <c r="B133" s="96"/>
      <c r="C133" s="69"/>
      <c r="D133" s="69"/>
      <c r="E133" s="95"/>
    </row>
    <row r="134" spans="1:5" s="77" customFormat="1" ht="11.25" x14ac:dyDescent="0.2">
      <c r="A134" s="106"/>
      <c r="B134" s="96"/>
      <c r="C134" s="69"/>
      <c r="D134" s="69"/>
      <c r="E134" s="95"/>
    </row>
    <row r="135" spans="1:5" s="77" customFormat="1" ht="11.25" x14ac:dyDescent="0.2">
      <c r="A135" s="106"/>
      <c r="B135" s="96"/>
      <c r="C135" s="69"/>
      <c r="D135" s="69"/>
      <c r="E135" s="95"/>
    </row>
    <row r="136" spans="1:5" s="77" customFormat="1" ht="11.25" x14ac:dyDescent="0.2">
      <c r="A136" s="106"/>
      <c r="B136" s="96"/>
      <c r="C136" s="69"/>
      <c r="D136" s="69"/>
      <c r="E136" s="95"/>
    </row>
    <row r="137" spans="1:5" s="77" customFormat="1" ht="11.25" x14ac:dyDescent="0.2">
      <c r="A137" s="106"/>
      <c r="B137" s="96"/>
      <c r="C137" s="69"/>
      <c r="D137" s="69"/>
      <c r="E137" s="95"/>
    </row>
    <row r="138" spans="1:5" s="77" customFormat="1" ht="11.25" x14ac:dyDescent="0.2">
      <c r="A138" s="106"/>
      <c r="B138" s="96"/>
      <c r="C138" s="69"/>
      <c r="D138" s="69"/>
      <c r="E138" s="95"/>
    </row>
    <row r="139" spans="1:5" s="77" customFormat="1" ht="11.25" x14ac:dyDescent="0.2">
      <c r="A139" s="106"/>
      <c r="B139" s="96"/>
      <c r="C139" s="69"/>
      <c r="D139" s="69"/>
      <c r="E139" s="95"/>
    </row>
    <row r="140" spans="1:5" s="77" customFormat="1" ht="11.25" x14ac:dyDescent="0.2">
      <c r="A140" s="106"/>
      <c r="B140" s="527"/>
      <c r="C140" s="526"/>
      <c r="D140" s="69"/>
      <c r="E140" s="95"/>
    </row>
    <row r="141" spans="1:5" s="77" customFormat="1" ht="11.25" x14ac:dyDescent="0.2">
      <c r="A141" s="106"/>
      <c r="B141" s="96"/>
      <c r="C141" s="69"/>
      <c r="D141" s="69"/>
      <c r="E141" s="95"/>
    </row>
    <row r="142" spans="1:5" s="77" customFormat="1" ht="11.25" x14ac:dyDescent="0.2">
      <c r="A142" s="106"/>
      <c r="B142" s="527"/>
      <c r="C142" s="69"/>
      <c r="D142" s="69"/>
      <c r="E142" s="95"/>
    </row>
    <row r="143" spans="1:5" s="77" customFormat="1" ht="11.25" x14ac:dyDescent="0.2">
      <c r="A143" s="106"/>
      <c r="B143" s="527"/>
      <c r="C143" s="69"/>
      <c r="D143" s="69"/>
      <c r="E143" s="95"/>
    </row>
    <row r="144" spans="1:5" s="77" customFormat="1" ht="11.25" x14ac:dyDescent="0.2">
      <c r="A144" s="106"/>
      <c r="B144" s="96"/>
      <c r="C144" s="69"/>
      <c r="D144" s="69"/>
      <c r="E144" s="95"/>
    </row>
    <row r="145" spans="1:5" s="77" customFormat="1" ht="11.25" x14ac:dyDescent="0.2">
      <c r="A145" s="106"/>
      <c r="B145" s="527"/>
      <c r="C145" s="69"/>
      <c r="D145" s="69"/>
      <c r="E145" s="95"/>
    </row>
    <row r="146" spans="1:5" s="77" customFormat="1" ht="11.25" x14ac:dyDescent="0.2">
      <c r="A146" s="106"/>
      <c r="B146" s="96"/>
      <c r="C146" s="69"/>
      <c r="D146" s="69"/>
      <c r="E146" s="95"/>
    </row>
    <row r="147" spans="1:5" s="77" customFormat="1" ht="11.25" x14ac:dyDescent="0.2">
      <c r="A147" s="106"/>
      <c r="B147" s="96"/>
      <c r="C147" s="69"/>
      <c r="D147" s="69"/>
      <c r="E147" s="95"/>
    </row>
    <row r="148" spans="1:5" s="77" customFormat="1" ht="11.25" x14ac:dyDescent="0.2">
      <c r="A148" s="106"/>
      <c r="B148" s="96"/>
      <c r="C148" s="69"/>
      <c r="D148" s="69"/>
      <c r="E148" s="95"/>
    </row>
    <row r="149" spans="1:5" s="77" customFormat="1" ht="11.25" x14ac:dyDescent="0.2">
      <c r="A149" s="106"/>
      <c r="B149" s="527"/>
      <c r="C149" s="69"/>
      <c r="D149" s="69"/>
      <c r="E149" s="95"/>
    </row>
    <row r="150" spans="1:5" s="77" customFormat="1" ht="11.25" x14ac:dyDescent="0.2">
      <c r="A150" s="106"/>
      <c r="B150" s="96"/>
      <c r="C150" s="69"/>
      <c r="D150" s="69"/>
      <c r="E150" s="95"/>
    </row>
    <row r="151" spans="1:5" s="77" customFormat="1" ht="11.25" x14ac:dyDescent="0.2">
      <c r="A151" s="106"/>
      <c r="B151" s="96"/>
      <c r="C151" s="69"/>
      <c r="D151" s="69"/>
      <c r="E151" s="95"/>
    </row>
    <row r="152" spans="1:5" s="77" customFormat="1" ht="11.25" x14ac:dyDescent="0.2">
      <c r="A152" s="106"/>
      <c r="B152" s="527"/>
      <c r="C152" s="69"/>
      <c r="D152" s="69"/>
      <c r="E152" s="95"/>
    </row>
    <row r="153" spans="1:5" s="77" customFormat="1" ht="11.25" x14ac:dyDescent="0.2">
      <c r="A153" s="106"/>
      <c r="B153" s="527"/>
      <c r="C153" s="69"/>
      <c r="D153" s="69"/>
      <c r="E153" s="95"/>
    </row>
    <row r="154" spans="1:5" s="77" customFormat="1" ht="11.25" x14ac:dyDescent="0.2">
      <c r="A154" s="106"/>
      <c r="B154" s="96"/>
      <c r="C154" s="69"/>
      <c r="D154" s="69"/>
      <c r="E154" s="95"/>
    </row>
    <row r="155" spans="1:5" s="77" customFormat="1" ht="11.25" x14ac:dyDescent="0.2">
      <c r="A155" s="106"/>
      <c r="B155" s="96"/>
      <c r="C155" s="69"/>
      <c r="D155" s="69"/>
      <c r="E155" s="95"/>
    </row>
    <row r="156" spans="1:5" s="77" customFormat="1" ht="11.25" x14ac:dyDescent="0.2">
      <c r="A156" s="106"/>
      <c r="B156" s="96"/>
      <c r="C156" s="69"/>
      <c r="D156" s="69"/>
      <c r="E156" s="95"/>
    </row>
    <row r="157" spans="1:5" s="77" customFormat="1" ht="11.25" x14ac:dyDescent="0.2">
      <c r="A157" s="106"/>
      <c r="B157" s="527"/>
      <c r="C157" s="526"/>
      <c r="D157" s="69"/>
      <c r="E157" s="95"/>
    </row>
    <row r="158" spans="1:5" s="77" customFormat="1" ht="11.25" x14ac:dyDescent="0.2">
      <c r="A158" s="106"/>
      <c r="B158" s="528"/>
      <c r="C158" s="69"/>
      <c r="D158" s="69"/>
      <c r="E158" s="95"/>
    </row>
    <row r="159" spans="1:5" s="77" customFormat="1" ht="11.25" x14ac:dyDescent="0.2">
      <c r="A159" s="106"/>
      <c r="B159" s="529"/>
      <c r="C159" s="526"/>
      <c r="D159" s="69"/>
      <c r="E159" s="95"/>
    </row>
    <row r="160" spans="1:5" s="77" customFormat="1" ht="11.25" x14ac:dyDescent="0.2">
      <c r="A160" s="106"/>
      <c r="B160" s="528"/>
      <c r="C160" s="69"/>
      <c r="D160" s="69"/>
      <c r="E160" s="95"/>
    </row>
    <row r="161" spans="1:5" s="77" customFormat="1" ht="11.25" x14ac:dyDescent="0.2">
      <c r="A161" s="106"/>
      <c r="B161" s="96"/>
      <c r="C161" s="69"/>
      <c r="D161" s="69"/>
      <c r="E161" s="95"/>
    </row>
    <row r="162" spans="1:5" s="77" customFormat="1" ht="11.25" x14ac:dyDescent="0.2">
      <c r="A162" s="106"/>
      <c r="B162" s="527"/>
      <c r="C162" s="69"/>
      <c r="D162" s="69"/>
      <c r="E162" s="95"/>
    </row>
    <row r="163" spans="1:5" s="77" customFormat="1" ht="11.25" x14ac:dyDescent="0.2">
      <c r="A163" s="106"/>
      <c r="B163" s="96"/>
      <c r="C163" s="69"/>
      <c r="D163" s="69"/>
      <c r="E163" s="95"/>
    </row>
    <row r="164" spans="1:5" s="77" customFormat="1" ht="11.25" x14ac:dyDescent="0.2">
      <c r="A164" s="106"/>
      <c r="B164" s="96"/>
      <c r="C164" s="69"/>
      <c r="D164" s="69"/>
      <c r="E164" s="95"/>
    </row>
    <row r="165" spans="1:5" s="77" customFormat="1" ht="11.25" x14ac:dyDescent="0.2">
      <c r="A165" s="106"/>
      <c r="B165" s="96"/>
      <c r="C165" s="69"/>
      <c r="D165" s="69"/>
      <c r="E165" s="95"/>
    </row>
    <row r="166" spans="1:5" s="77" customFormat="1" ht="11.25" x14ac:dyDescent="0.2">
      <c r="A166" s="106"/>
      <c r="B166" s="96"/>
      <c r="C166" s="69"/>
      <c r="D166" s="69"/>
      <c r="E166" s="95"/>
    </row>
    <row r="167" spans="1:5" s="77" customFormat="1" ht="11.25" x14ac:dyDescent="0.2">
      <c r="A167" s="106"/>
      <c r="B167" s="96"/>
      <c r="C167" s="69"/>
      <c r="D167" s="69"/>
      <c r="E167" s="95"/>
    </row>
    <row r="168" spans="1:5" s="77" customFormat="1" ht="11.25" x14ac:dyDescent="0.2">
      <c r="A168" s="106"/>
      <c r="B168" s="96"/>
      <c r="C168" s="69"/>
      <c r="D168" s="69"/>
      <c r="E168" s="95"/>
    </row>
    <row r="169" spans="1:5" s="77" customFormat="1" ht="11.25" x14ac:dyDescent="0.2">
      <c r="A169" s="106"/>
      <c r="B169" s="96"/>
      <c r="C169" s="69"/>
      <c r="D169" s="69"/>
      <c r="E169" s="95"/>
    </row>
    <row r="170" spans="1:5" x14ac:dyDescent="0.2">
      <c r="A170" s="530"/>
      <c r="B170" s="527"/>
      <c r="C170" s="69"/>
      <c r="D170" s="531"/>
      <c r="E170" s="237"/>
    </row>
    <row r="171" spans="1:5" x14ac:dyDescent="0.2">
      <c r="A171" s="530"/>
      <c r="B171" s="532"/>
      <c r="C171" s="533"/>
      <c r="D171" s="531"/>
      <c r="E171" s="237"/>
    </row>
    <row r="172" spans="1:5" x14ac:dyDescent="0.2">
      <c r="A172" s="530"/>
      <c r="B172" s="532"/>
      <c r="C172" s="533"/>
      <c r="D172" s="531"/>
      <c r="E172" s="237"/>
    </row>
    <row r="173" spans="1:5" x14ac:dyDescent="0.2">
      <c r="D173" s="70"/>
    </row>
    <row r="174" spans="1:5" x14ac:dyDescent="0.2">
      <c r="D174" s="70"/>
    </row>
    <row r="175" spans="1:5" x14ac:dyDescent="0.2">
      <c r="D175" s="70"/>
    </row>
    <row r="176" spans="1:5" x14ac:dyDescent="0.2">
      <c r="D176" s="70"/>
    </row>
    <row r="177" spans="4:4" x14ac:dyDescent="0.2">
      <c r="D177" s="70"/>
    </row>
    <row r="178" spans="4:4" x14ac:dyDescent="0.2">
      <c r="D178" s="70"/>
    </row>
    <row r="179" spans="4:4" x14ac:dyDescent="0.2">
      <c r="D179" s="70"/>
    </row>
    <row r="180" spans="4:4" x14ac:dyDescent="0.2">
      <c r="D180" s="70"/>
    </row>
    <row r="181" spans="4:4" x14ac:dyDescent="0.2">
      <c r="D181" s="70"/>
    </row>
    <row r="182" spans="4:4" x14ac:dyDescent="0.2">
      <c r="D182" s="70"/>
    </row>
    <row r="183" spans="4:4" x14ac:dyDescent="0.2">
      <c r="D183" s="70"/>
    </row>
    <row r="184" spans="4:4" x14ac:dyDescent="0.2">
      <c r="D184" s="70"/>
    </row>
    <row r="185" spans="4:4" x14ac:dyDescent="0.2">
      <c r="D185" s="70"/>
    </row>
    <row r="186" spans="4:4" x14ac:dyDescent="0.2">
      <c r="D186" s="70"/>
    </row>
    <row r="187" spans="4:4" x14ac:dyDescent="0.2">
      <c r="D187" s="70"/>
    </row>
    <row r="188" spans="4:4" x14ac:dyDescent="0.2">
      <c r="D188" s="70"/>
    </row>
    <row r="189" spans="4:4" x14ac:dyDescent="0.2">
      <c r="D189" s="70"/>
    </row>
    <row r="190" spans="4:4" x14ac:dyDescent="0.2">
      <c r="D190" s="70"/>
    </row>
    <row r="191" spans="4:4" x14ac:dyDescent="0.2">
      <c r="D191" s="70"/>
    </row>
    <row r="192" spans="4:4" x14ac:dyDescent="0.2">
      <c r="D192" s="70"/>
    </row>
    <row r="193" spans="4:4" x14ac:dyDescent="0.2">
      <c r="D193" s="70"/>
    </row>
    <row r="194" spans="4:4" x14ac:dyDescent="0.2">
      <c r="D194" s="70"/>
    </row>
    <row r="195" spans="4:4" x14ac:dyDescent="0.2">
      <c r="D195" s="70"/>
    </row>
    <row r="196" spans="4:4" x14ac:dyDescent="0.2">
      <c r="D196" s="70"/>
    </row>
    <row r="197" spans="4:4" x14ac:dyDescent="0.2">
      <c r="D197" s="70"/>
    </row>
    <row r="198" spans="4:4" x14ac:dyDescent="0.2">
      <c r="D198" s="70"/>
    </row>
    <row r="199" spans="4:4" x14ac:dyDescent="0.2">
      <c r="D199" s="70"/>
    </row>
    <row r="200" spans="4:4" x14ac:dyDescent="0.2">
      <c r="D200" s="70"/>
    </row>
    <row r="201" spans="4:4" x14ac:dyDescent="0.2">
      <c r="D201" s="70"/>
    </row>
    <row r="202" spans="4:4" x14ac:dyDescent="0.2">
      <c r="D202" s="70"/>
    </row>
    <row r="203" spans="4:4" x14ac:dyDescent="0.2">
      <c r="D203" s="70"/>
    </row>
    <row r="204" spans="4:4" x14ac:dyDescent="0.2">
      <c r="D204" s="70"/>
    </row>
    <row r="205" spans="4:4" x14ac:dyDescent="0.2">
      <c r="D205" s="70"/>
    </row>
    <row r="206" spans="4:4" x14ac:dyDescent="0.2">
      <c r="D206" s="70"/>
    </row>
    <row r="207" spans="4:4" x14ac:dyDescent="0.2">
      <c r="D207" s="70"/>
    </row>
    <row r="208" spans="4:4" x14ac:dyDescent="0.2">
      <c r="D208" s="70"/>
    </row>
    <row r="209" spans="4:4" x14ac:dyDescent="0.2">
      <c r="D209" s="70"/>
    </row>
    <row r="210" spans="4:4" x14ac:dyDescent="0.2">
      <c r="D210" s="70"/>
    </row>
    <row r="211" spans="4:4" x14ac:dyDescent="0.2">
      <c r="D211" s="70"/>
    </row>
    <row r="212" spans="4:4" x14ac:dyDescent="0.2">
      <c r="D212" s="70"/>
    </row>
    <row r="213" spans="4:4" x14ac:dyDescent="0.2">
      <c r="D213" s="70"/>
    </row>
    <row r="214" spans="4:4" x14ac:dyDescent="0.2">
      <c r="D214" s="70"/>
    </row>
    <row r="215" spans="4:4" x14ac:dyDescent="0.2">
      <c r="D215" s="70"/>
    </row>
    <row r="216" spans="4:4" x14ac:dyDescent="0.2">
      <c r="D216" s="70"/>
    </row>
    <row r="217" spans="4:4" x14ac:dyDescent="0.2">
      <c r="D217" s="70"/>
    </row>
    <row r="218" spans="4:4" x14ac:dyDescent="0.2">
      <c r="D218" s="70"/>
    </row>
    <row r="219" spans="4:4" x14ac:dyDescent="0.2">
      <c r="D219" s="70"/>
    </row>
    <row r="220" spans="4:4" x14ac:dyDescent="0.2">
      <c r="D220" s="70"/>
    </row>
    <row r="221" spans="4:4" x14ac:dyDescent="0.2">
      <c r="D221" s="70"/>
    </row>
    <row r="222" spans="4:4" x14ac:dyDescent="0.2">
      <c r="D222" s="70"/>
    </row>
    <row r="223" spans="4:4" x14ac:dyDescent="0.2">
      <c r="D223" s="70"/>
    </row>
    <row r="224" spans="4:4" x14ac:dyDescent="0.2">
      <c r="D224" s="70"/>
    </row>
    <row r="225" spans="4:4" x14ac:dyDescent="0.2">
      <c r="D225" s="70"/>
    </row>
    <row r="226" spans="4:4" x14ac:dyDescent="0.2">
      <c r="D226" s="70"/>
    </row>
    <row r="227" spans="4:4" x14ac:dyDescent="0.2">
      <c r="D227" s="70"/>
    </row>
    <row r="228" spans="4:4" x14ac:dyDescent="0.2">
      <c r="D228" s="70"/>
    </row>
    <row r="229" spans="4:4" x14ac:dyDescent="0.2">
      <c r="D229" s="70"/>
    </row>
    <row r="230" spans="4:4" x14ac:dyDescent="0.2">
      <c r="D230" s="70"/>
    </row>
    <row r="231" spans="4:4" x14ac:dyDescent="0.2">
      <c r="D231" s="70"/>
    </row>
    <row r="232" spans="4:4" x14ac:dyDescent="0.2">
      <c r="D232" s="70"/>
    </row>
  </sheetData>
  <mergeCells count="4">
    <mergeCell ref="A1:D1"/>
    <mergeCell ref="A2:D2"/>
    <mergeCell ref="B124:C124"/>
    <mergeCell ref="A122:E122"/>
  </mergeCells>
  <phoneticPr fontId="0" type="noConversion"/>
  <pageMargins left="0.98425196850393704" right="0.98425196850393704" top="0.98425196850393704" bottom="0.59055118110236227" header="0" footer="0"/>
  <pageSetup paperSize="9" scale="70" orientation="portrait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F60"/>
  <sheetViews>
    <sheetView showGridLines="0" workbookViewId="0">
      <selection activeCell="G12" sqref="G12"/>
    </sheetView>
  </sheetViews>
  <sheetFormatPr baseColWidth="10" defaultRowHeight="12.75" x14ac:dyDescent="0.2"/>
  <cols>
    <col min="1" max="1" width="10" style="85" bestFit="1" customWidth="1"/>
    <col min="2" max="2" width="45.7109375" style="4" customWidth="1"/>
    <col min="3" max="3" width="11.7109375" style="35" bestFit="1" customWidth="1"/>
    <col min="4" max="4" width="10.28515625" style="4" customWidth="1"/>
    <col min="5" max="16384" width="11.42578125" style="4"/>
  </cols>
  <sheetData>
    <row r="1" spans="1:6" ht="18.75" x14ac:dyDescent="0.2">
      <c r="A1" s="540" t="s">
        <v>406</v>
      </c>
      <c r="B1" s="541"/>
      <c r="C1" s="541"/>
      <c r="D1" s="541"/>
    </row>
    <row r="2" spans="1:6" ht="15" x14ac:dyDescent="0.2">
      <c r="A2" s="542" t="s">
        <v>931</v>
      </c>
      <c r="B2" s="539"/>
      <c r="C2" s="539"/>
      <c r="D2" s="539"/>
    </row>
    <row r="3" spans="1:6" ht="17.25" customHeight="1" x14ac:dyDescent="0.3">
      <c r="A3" s="363">
        <v>3</v>
      </c>
      <c r="B3" s="364" t="s">
        <v>421</v>
      </c>
      <c r="C3" s="359"/>
      <c r="D3" s="359"/>
    </row>
    <row r="4" spans="1:6" ht="15" customHeight="1" x14ac:dyDescent="0.3">
      <c r="A4" s="366">
        <v>3.2</v>
      </c>
      <c r="B4" s="367" t="s">
        <v>431</v>
      </c>
      <c r="C4" s="359"/>
      <c r="D4" s="359"/>
    </row>
    <row r="5" spans="1:6" ht="14.25" customHeight="1" x14ac:dyDescent="0.3">
      <c r="A5" s="369" t="s">
        <v>433</v>
      </c>
      <c r="B5" s="367" t="s">
        <v>212</v>
      </c>
      <c r="C5" s="359"/>
      <c r="D5" s="359"/>
    </row>
    <row r="6" spans="1:6" s="17" customFormat="1" ht="20.25" customHeight="1" x14ac:dyDescent="0.2">
      <c r="A6" s="21" t="s">
        <v>5</v>
      </c>
      <c r="B6" s="21" t="s">
        <v>6</v>
      </c>
      <c r="C6" s="370" t="s">
        <v>400</v>
      </c>
      <c r="D6" s="21" t="s">
        <v>7</v>
      </c>
      <c r="E6" s="472"/>
      <c r="F6" s="472"/>
    </row>
    <row r="7" spans="1:6" ht="15.75" customHeight="1" x14ac:dyDescent="0.2">
      <c r="A7" s="54"/>
      <c r="B7" s="56" t="s">
        <v>7</v>
      </c>
      <c r="C7" s="40">
        <f>SUM(C11:C57)</f>
        <v>442499.11</v>
      </c>
      <c r="D7" s="40">
        <f>+D8+D47+D53</f>
        <v>442499.11</v>
      </c>
      <c r="E7" s="18"/>
    </row>
    <row r="8" spans="1:6" x14ac:dyDescent="0.2">
      <c r="A8" s="54">
        <v>5</v>
      </c>
      <c r="B8" s="56" t="s">
        <v>8</v>
      </c>
      <c r="C8" s="40"/>
      <c r="D8" s="40">
        <f>+D9+D33</f>
        <v>252311.74</v>
      </c>
    </row>
    <row r="9" spans="1:6" x14ac:dyDescent="0.2">
      <c r="A9" s="42">
        <v>5.0999999999999996</v>
      </c>
      <c r="B9" s="43" t="s">
        <v>9</v>
      </c>
      <c r="C9" s="40"/>
      <c r="D9" s="40">
        <f>D10+D14+D17+D20+D23+D28+D31</f>
        <v>239613.74</v>
      </c>
    </row>
    <row r="10" spans="1:6" x14ac:dyDescent="0.2">
      <c r="A10" s="42" t="s">
        <v>10</v>
      </c>
      <c r="B10" s="43" t="s">
        <v>11</v>
      </c>
      <c r="C10" s="40"/>
      <c r="D10" s="40">
        <f>SUM(C11:C13)</f>
        <v>163988.25</v>
      </c>
    </row>
    <row r="11" spans="1:6" x14ac:dyDescent="0.2">
      <c r="A11" s="45" t="s">
        <v>251</v>
      </c>
      <c r="B11" s="46" t="s">
        <v>833</v>
      </c>
      <c r="C11" s="47"/>
      <c r="D11" s="41"/>
    </row>
    <row r="12" spans="1:6" x14ac:dyDescent="0.2">
      <c r="A12" s="45" t="s">
        <v>183</v>
      </c>
      <c r="B12" s="46" t="s">
        <v>832</v>
      </c>
      <c r="C12" s="47">
        <v>43080</v>
      </c>
      <c r="D12" s="41"/>
      <c r="E12" s="467"/>
    </row>
    <row r="13" spans="1:6" s="28" customFormat="1" x14ac:dyDescent="0.2">
      <c r="A13" s="45" t="s">
        <v>760</v>
      </c>
      <c r="B13" s="46" t="s">
        <v>831</v>
      </c>
      <c r="C13" s="53">
        <v>120908.25</v>
      </c>
      <c r="D13" s="53"/>
      <c r="E13" s="468"/>
    </row>
    <row r="14" spans="1:6" x14ac:dyDescent="0.2">
      <c r="A14" s="42" t="s">
        <v>252</v>
      </c>
      <c r="B14" s="43" t="s">
        <v>253</v>
      </c>
      <c r="C14" s="47"/>
      <c r="D14" s="44">
        <f>SUM(C15:C16)</f>
        <v>21717.690000000002</v>
      </c>
    </row>
    <row r="15" spans="1:6" x14ac:dyDescent="0.2">
      <c r="A15" s="45" t="s">
        <v>254</v>
      </c>
      <c r="B15" s="46" t="s">
        <v>255</v>
      </c>
      <c r="C15" s="47">
        <f>3590+10075.69</f>
        <v>13665.69</v>
      </c>
      <c r="D15" s="47"/>
    </row>
    <row r="16" spans="1:6" x14ac:dyDescent="0.2">
      <c r="A16" s="45" t="s">
        <v>256</v>
      </c>
      <c r="B16" s="46" t="s">
        <v>257</v>
      </c>
      <c r="C16" s="47">
        <f>805.2+7246.8</f>
        <v>8052</v>
      </c>
      <c r="D16" s="47"/>
    </row>
    <row r="17" spans="1:4" x14ac:dyDescent="0.2">
      <c r="A17" s="54" t="s">
        <v>349</v>
      </c>
      <c r="B17" s="56" t="s">
        <v>350</v>
      </c>
      <c r="C17" s="47"/>
      <c r="D17" s="44">
        <f>SUM(C18:C19)</f>
        <v>15120</v>
      </c>
    </row>
    <row r="18" spans="1:4" x14ac:dyDescent="0.2">
      <c r="A18" s="57" t="s">
        <v>508</v>
      </c>
      <c r="B18" s="58" t="s">
        <v>509</v>
      </c>
      <c r="C18" s="47">
        <v>2160</v>
      </c>
      <c r="D18" s="47"/>
    </row>
    <row r="19" spans="1:4" x14ac:dyDescent="0.2">
      <c r="A19" s="57" t="s">
        <v>351</v>
      </c>
      <c r="B19" s="58" t="s">
        <v>830</v>
      </c>
      <c r="C19" s="41">
        <v>12960</v>
      </c>
      <c r="D19" s="40"/>
    </row>
    <row r="20" spans="1:4" x14ac:dyDescent="0.2">
      <c r="A20" s="42" t="s">
        <v>184</v>
      </c>
      <c r="B20" s="59" t="s">
        <v>185</v>
      </c>
      <c r="C20" s="41"/>
      <c r="D20" s="40">
        <f>SUM(C21:C22)</f>
        <v>5412.9400000000005</v>
      </c>
    </row>
    <row r="21" spans="1:4" x14ac:dyDescent="0.2">
      <c r="A21" s="45" t="s">
        <v>277</v>
      </c>
      <c r="B21" s="60" t="s">
        <v>719</v>
      </c>
      <c r="C21" s="47">
        <v>2367.29</v>
      </c>
      <c r="D21" s="44"/>
    </row>
    <row r="22" spans="1:4" x14ac:dyDescent="0.2">
      <c r="A22" s="45" t="s">
        <v>479</v>
      </c>
      <c r="B22" s="46" t="s">
        <v>480</v>
      </c>
      <c r="C22" s="48">
        <v>3045.65</v>
      </c>
      <c r="D22" s="49"/>
    </row>
    <row r="23" spans="1:4" x14ac:dyDescent="0.2">
      <c r="A23" s="42" t="s">
        <v>187</v>
      </c>
      <c r="B23" s="43" t="s">
        <v>186</v>
      </c>
      <c r="C23" s="47"/>
      <c r="D23" s="44">
        <f>SUM(C24:C27)</f>
        <v>0</v>
      </c>
    </row>
    <row r="24" spans="1:4" x14ac:dyDescent="0.2">
      <c r="A24" s="45" t="s">
        <v>766</v>
      </c>
      <c r="B24" s="46" t="s">
        <v>829</v>
      </c>
      <c r="C24" s="48"/>
      <c r="D24" s="49"/>
    </row>
    <row r="25" spans="1:4" x14ac:dyDescent="0.2">
      <c r="A25" s="45" t="s">
        <v>258</v>
      </c>
      <c r="B25" s="46" t="s">
        <v>259</v>
      </c>
      <c r="C25" s="48"/>
      <c r="D25" s="49"/>
    </row>
    <row r="26" spans="1:4" x14ac:dyDescent="0.2">
      <c r="A26" s="45" t="s">
        <v>769</v>
      </c>
      <c r="B26" s="46" t="s">
        <v>676</v>
      </c>
      <c r="C26" s="48"/>
      <c r="D26" s="49"/>
    </row>
    <row r="27" spans="1:4" x14ac:dyDescent="0.2">
      <c r="A27" s="45" t="s">
        <v>542</v>
      </c>
      <c r="B27" s="46" t="s">
        <v>543</v>
      </c>
      <c r="C27" s="48"/>
      <c r="D27" s="49"/>
    </row>
    <row r="28" spans="1:4" x14ac:dyDescent="0.2">
      <c r="A28" s="42" t="s">
        <v>12</v>
      </c>
      <c r="B28" s="43" t="s">
        <v>13</v>
      </c>
      <c r="C28" s="48"/>
      <c r="D28" s="216">
        <f>SUM(C29:C30)</f>
        <v>33374.86</v>
      </c>
    </row>
    <row r="29" spans="1:4" x14ac:dyDescent="0.2">
      <c r="A29" s="45" t="s">
        <v>260</v>
      </c>
      <c r="B29" s="46" t="s">
        <v>261</v>
      </c>
      <c r="C29" s="48">
        <f>5018.82+14690.35</f>
        <v>19709.169999999998</v>
      </c>
      <c r="D29" s="49"/>
    </row>
    <row r="30" spans="1:4" x14ac:dyDescent="0.2">
      <c r="A30" s="45" t="s">
        <v>510</v>
      </c>
      <c r="B30" s="46" t="s">
        <v>700</v>
      </c>
      <c r="C30" s="48">
        <f>3590+10075.69</f>
        <v>13665.69</v>
      </c>
      <c r="D30" s="49"/>
    </row>
    <row r="31" spans="1:4" x14ac:dyDescent="0.2">
      <c r="A31" s="42" t="s">
        <v>302</v>
      </c>
      <c r="B31" s="43" t="s">
        <v>303</v>
      </c>
      <c r="C31" s="48"/>
      <c r="D31" s="216">
        <f>SUM(C32)</f>
        <v>0</v>
      </c>
    </row>
    <row r="32" spans="1:4" x14ac:dyDescent="0.2">
      <c r="A32" s="45" t="s">
        <v>768</v>
      </c>
      <c r="B32" s="46" t="s">
        <v>776</v>
      </c>
      <c r="C32" s="48"/>
      <c r="D32" s="49"/>
    </row>
    <row r="33" spans="1:4" x14ac:dyDescent="0.2">
      <c r="A33" s="54">
        <v>5.3</v>
      </c>
      <c r="B33" s="56" t="s">
        <v>14</v>
      </c>
      <c r="C33" s="40"/>
      <c r="D33" s="40">
        <f>+D34+D36+D39+D44</f>
        <v>12698</v>
      </c>
    </row>
    <row r="34" spans="1:4" x14ac:dyDescent="0.2">
      <c r="A34" s="54" t="s">
        <v>23</v>
      </c>
      <c r="B34" s="56" t="s">
        <v>4</v>
      </c>
      <c r="C34" s="40"/>
      <c r="D34" s="40">
        <f>SUM(C35:C35)</f>
        <v>100</v>
      </c>
    </row>
    <row r="35" spans="1:4" x14ac:dyDescent="0.2">
      <c r="A35" s="57" t="s">
        <v>31</v>
      </c>
      <c r="B35" s="58" t="s">
        <v>32</v>
      </c>
      <c r="C35" s="41">
        <v>100</v>
      </c>
      <c r="D35" s="41"/>
    </row>
    <row r="36" spans="1:4" x14ac:dyDescent="0.2">
      <c r="A36" s="54" t="s">
        <v>33</v>
      </c>
      <c r="B36" s="56" t="s">
        <v>34</v>
      </c>
      <c r="C36" s="40"/>
      <c r="D36" s="40">
        <f>+C37+C38</f>
        <v>1000</v>
      </c>
    </row>
    <row r="37" spans="1:4" x14ac:dyDescent="0.2">
      <c r="A37" s="57" t="s">
        <v>35</v>
      </c>
      <c r="B37" s="58" t="s">
        <v>840</v>
      </c>
      <c r="C37" s="41">
        <v>500</v>
      </c>
      <c r="D37" s="41"/>
    </row>
    <row r="38" spans="1:4" x14ac:dyDescent="0.2">
      <c r="A38" s="57" t="s">
        <v>37</v>
      </c>
      <c r="B38" s="58" t="s">
        <v>841</v>
      </c>
      <c r="C38" s="41">
        <v>500</v>
      </c>
      <c r="D38" s="41"/>
    </row>
    <row r="39" spans="1:4" x14ac:dyDescent="0.2">
      <c r="A39" s="54" t="s">
        <v>39</v>
      </c>
      <c r="B39" s="56" t="s">
        <v>40</v>
      </c>
      <c r="C39" s="40"/>
      <c r="D39" s="40">
        <f>SUM(C40:C43)</f>
        <v>4100</v>
      </c>
    </row>
    <row r="40" spans="1:4" x14ac:dyDescent="0.2">
      <c r="A40" s="57" t="s">
        <v>41</v>
      </c>
      <c r="B40" s="58" t="s">
        <v>42</v>
      </c>
      <c r="C40" s="41">
        <v>100</v>
      </c>
      <c r="D40" s="40"/>
    </row>
    <row r="41" spans="1:4" x14ac:dyDescent="0.2">
      <c r="A41" s="57" t="s">
        <v>43</v>
      </c>
      <c r="B41" s="58" t="s">
        <v>189</v>
      </c>
      <c r="C41" s="41">
        <v>2000</v>
      </c>
      <c r="D41" s="40"/>
    </row>
    <row r="42" spans="1:4" x14ac:dyDescent="0.2">
      <c r="A42" s="57" t="s">
        <v>45</v>
      </c>
      <c r="B42" s="58" t="s">
        <v>177</v>
      </c>
      <c r="C42" s="41">
        <v>1000</v>
      </c>
      <c r="D42" s="40"/>
    </row>
    <row r="43" spans="1:4" x14ac:dyDescent="0.2">
      <c r="A43" s="57" t="s">
        <v>94</v>
      </c>
      <c r="B43" s="58" t="s">
        <v>95</v>
      </c>
      <c r="C43" s="41">
        <v>1000</v>
      </c>
      <c r="D43" s="41"/>
    </row>
    <row r="44" spans="1:4" x14ac:dyDescent="0.2">
      <c r="A44" s="54" t="s">
        <v>55</v>
      </c>
      <c r="B44" s="56" t="s">
        <v>165</v>
      </c>
      <c r="C44" s="40" t="s">
        <v>147</v>
      </c>
      <c r="D44" s="40">
        <f>SUM(C45:C46)</f>
        <v>7498</v>
      </c>
    </row>
    <row r="45" spans="1:4" x14ac:dyDescent="0.2">
      <c r="A45" s="57" t="s">
        <v>59</v>
      </c>
      <c r="B45" s="58" t="s">
        <v>837</v>
      </c>
      <c r="C45" s="61">
        <f>456+3042</f>
        <v>3498</v>
      </c>
      <c r="D45" s="41"/>
    </row>
    <row r="46" spans="1:4" x14ac:dyDescent="0.2">
      <c r="A46" s="57" t="s">
        <v>180</v>
      </c>
      <c r="B46" s="58" t="s">
        <v>95</v>
      </c>
      <c r="C46" s="41">
        <v>4000</v>
      </c>
      <c r="D46" s="41"/>
    </row>
    <row r="47" spans="1:4" x14ac:dyDescent="0.2">
      <c r="A47" s="54">
        <v>7.5</v>
      </c>
      <c r="B47" s="56" t="s">
        <v>87</v>
      </c>
      <c r="C47" s="40"/>
      <c r="D47" s="40">
        <f>+D48</f>
        <v>185187.37</v>
      </c>
    </row>
    <row r="48" spans="1:4" x14ac:dyDescent="0.2">
      <c r="A48" s="54" t="s">
        <v>88</v>
      </c>
      <c r="B48" s="56" t="s">
        <v>99</v>
      </c>
      <c r="C48" s="40"/>
      <c r="D48" s="40">
        <f>SUM(C50:C52)</f>
        <v>185187.37</v>
      </c>
    </row>
    <row r="49" spans="1:5" x14ac:dyDescent="0.2">
      <c r="A49" s="54" t="s">
        <v>100</v>
      </c>
      <c r="B49" s="56" t="s">
        <v>101</v>
      </c>
      <c r="C49" s="40"/>
      <c r="D49" s="41"/>
    </row>
    <row r="50" spans="1:5" x14ac:dyDescent="0.2">
      <c r="A50" s="57" t="s">
        <v>221</v>
      </c>
      <c r="B50" s="58" t="s">
        <v>858</v>
      </c>
      <c r="C50" s="41">
        <f>20000+140187.37</f>
        <v>160187.37</v>
      </c>
      <c r="D50" s="41"/>
      <c r="E50" s="168"/>
    </row>
    <row r="51" spans="1:5" x14ac:dyDescent="0.2">
      <c r="A51" s="57" t="s">
        <v>222</v>
      </c>
      <c r="B51" s="58" t="s">
        <v>859</v>
      </c>
      <c r="C51" s="41">
        <v>15000</v>
      </c>
      <c r="D51" s="41"/>
      <c r="E51" s="168"/>
    </row>
    <row r="52" spans="1:5" x14ac:dyDescent="0.2">
      <c r="A52" s="57" t="s">
        <v>239</v>
      </c>
      <c r="B52" s="58" t="s">
        <v>381</v>
      </c>
      <c r="C52" s="41">
        <v>10000</v>
      </c>
      <c r="D52" s="41"/>
      <c r="E52" s="168"/>
    </row>
    <row r="53" spans="1:5" s="35" customFormat="1" x14ac:dyDescent="0.2">
      <c r="A53" s="42">
        <v>8</v>
      </c>
      <c r="B53" s="43" t="s">
        <v>74</v>
      </c>
      <c r="C53" s="44"/>
      <c r="D53" s="44">
        <f>+D54</f>
        <v>5000</v>
      </c>
    </row>
    <row r="54" spans="1:5" x14ac:dyDescent="0.2">
      <c r="A54" s="42">
        <v>8.4</v>
      </c>
      <c r="B54" s="43" t="s">
        <v>75</v>
      </c>
      <c r="C54" s="44"/>
      <c r="D54" s="44">
        <f>+D55</f>
        <v>5000</v>
      </c>
    </row>
    <row r="55" spans="1:5" x14ac:dyDescent="0.2">
      <c r="A55" s="42" t="s">
        <v>76</v>
      </c>
      <c r="B55" s="43" t="s">
        <v>77</v>
      </c>
      <c r="C55" s="44"/>
      <c r="D55" s="44">
        <f>SUM(C56:C57)</f>
        <v>5000</v>
      </c>
    </row>
    <row r="56" spans="1:5" x14ac:dyDescent="0.2">
      <c r="A56" s="52" t="s">
        <v>301</v>
      </c>
      <c r="B56" s="46" t="s">
        <v>146</v>
      </c>
      <c r="C56" s="47">
        <v>0</v>
      </c>
      <c r="D56" s="44"/>
      <c r="E56" s="168"/>
    </row>
    <row r="57" spans="1:5" x14ac:dyDescent="0.2">
      <c r="A57" s="52" t="s">
        <v>276</v>
      </c>
      <c r="B57" s="46" t="s">
        <v>189</v>
      </c>
      <c r="C57" s="47">
        <v>5000</v>
      </c>
      <c r="D57" s="44"/>
      <c r="E57" s="168"/>
    </row>
    <row r="60" spans="1:5" x14ac:dyDescent="0.2">
      <c r="C60" s="39">
        <f>SUM(C8:C57)</f>
        <v>442499.11</v>
      </c>
    </row>
  </sheetData>
  <mergeCells count="2">
    <mergeCell ref="A1:D1"/>
    <mergeCell ref="A2:D2"/>
  </mergeCells>
  <phoneticPr fontId="0" type="noConversion"/>
  <pageMargins left="0.98425196850393704" right="0.98425196850393704" top="0.98425196850393704" bottom="0.59055118110236227" header="0" footer="0"/>
  <pageSetup paperSize="9" orientation="portrait" verticalDpi="12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F47"/>
  <sheetViews>
    <sheetView showGridLines="0" workbookViewId="0">
      <selection activeCell="H15" sqref="H15"/>
    </sheetView>
  </sheetViews>
  <sheetFormatPr baseColWidth="10" defaultRowHeight="12.75" x14ac:dyDescent="0.2"/>
  <cols>
    <col min="1" max="1" width="11.42578125" style="4"/>
    <col min="2" max="2" width="41.7109375" style="4" customWidth="1"/>
    <col min="3" max="3" width="11.7109375" style="35" bestFit="1" customWidth="1"/>
    <col min="4" max="4" width="10.85546875" style="4" customWidth="1"/>
    <col min="5" max="16384" width="11.42578125" style="4"/>
  </cols>
  <sheetData>
    <row r="1" spans="1:6" ht="18.75" x14ac:dyDescent="0.2">
      <c r="A1" s="540" t="s">
        <v>406</v>
      </c>
      <c r="B1" s="541"/>
      <c r="C1" s="541"/>
      <c r="D1" s="541"/>
    </row>
    <row r="2" spans="1:6" ht="15" x14ac:dyDescent="0.2">
      <c r="A2" s="542" t="s">
        <v>931</v>
      </c>
      <c r="B2" s="539"/>
      <c r="C2" s="539"/>
      <c r="D2" s="539"/>
    </row>
    <row r="3" spans="1:6" x14ac:dyDescent="0.2">
      <c r="A3" s="354">
        <v>3</v>
      </c>
      <c r="B3" s="354" t="s">
        <v>421</v>
      </c>
      <c r="C3" s="350"/>
      <c r="D3" s="350"/>
    </row>
    <row r="4" spans="1:6" ht="16.5" customHeight="1" x14ac:dyDescent="0.2">
      <c r="A4" s="487">
        <v>3.3</v>
      </c>
      <c r="B4" s="487" t="s">
        <v>96</v>
      </c>
      <c r="C4" s="350"/>
      <c r="D4" s="350"/>
    </row>
    <row r="5" spans="1:6" ht="15.75" customHeight="1" x14ac:dyDescent="0.2">
      <c r="A5" s="483" t="s">
        <v>435</v>
      </c>
      <c r="B5" s="345" t="s">
        <v>880</v>
      </c>
      <c r="C5" s="350"/>
      <c r="D5" s="350"/>
    </row>
    <row r="6" spans="1:6" x14ac:dyDescent="0.2">
      <c r="A6" s="30" t="s">
        <v>5</v>
      </c>
      <c r="B6" s="15" t="s">
        <v>6</v>
      </c>
      <c r="C6" s="370" t="s">
        <v>400</v>
      </c>
      <c r="D6" s="21" t="s">
        <v>7</v>
      </c>
      <c r="E6" s="18"/>
      <c r="F6" s="18"/>
    </row>
    <row r="7" spans="1:6" x14ac:dyDescent="0.2">
      <c r="A7" s="90"/>
      <c r="B7" s="68"/>
      <c r="C7" s="126"/>
      <c r="D7" s="33"/>
    </row>
    <row r="8" spans="1:6" x14ac:dyDescent="0.2">
      <c r="A8" s="54"/>
      <c r="B8" s="56" t="s">
        <v>7</v>
      </c>
      <c r="C8" s="40">
        <f>SUM(C12:C44)</f>
        <v>992419.10000000009</v>
      </c>
      <c r="D8" s="40">
        <f>D9+D40</f>
        <v>992419.1</v>
      </c>
      <c r="E8" s="18"/>
    </row>
    <row r="9" spans="1:6" x14ac:dyDescent="0.2">
      <c r="A9" s="54">
        <v>5</v>
      </c>
      <c r="B9" s="56" t="s">
        <v>8</v>
      </c>
      <c r="C9" s="40"/>
      <c r="D9" s="40">
        <f>+D10+D34</f>
        <v>584570.82999999996</v>
      </c>
    </row>
    <row r="10" spans="1:6" x14ac:dyDescent="0.2">
      <c r="A10" s="42">
        <v>5.0999999999999996</v>
      </c>
      <c r="B10" s="43" t="s">
        <v>9</v>
      </c>
      <c r="C10" s="40"/>
      <c r="D10" s="40">
        <f>D11+D15+D18+D21+D24+D29+D32</f>
        <v>553996.82999999996</v>
      </c>
    </row>
    <row r="11" spans="1:6" x14ac:dyDescent="0.2">
      <c r="A11" s="42" t="s">
        <v>10</v>
      </c>
      <c r="B11" s="43" t="s">
        <v>11</v>
      </c>
      <c r="C11" s="40"/>
      <c r="D11" s="40">
        <f>SUM(C12:C14)</f>
        <v>325433.99</v>
      </c>
    </row>
    <row r="12" spans="1:6" x14ac:dyDescent="0.2">
      <c r="A12" s="45" t="s">
        <v>251</v>
      </c>
      <c r="B12" s="46" t="s">
        <v>833</v>
      </c>
      <c r="C12" s="41">
        <v>9044.35</v>
      </c>
      <c r="D12" s="41"/>
    </row>
    <row r="13" spans="1:6" s="28" customFormat="1" x14ac:dyDescent="0.2">
      <c r="A13" s="45" t="s">
        <v>183</v>
      </c>
      <c r="B13" s="46" t="s">
        <v>832</v>
      </c>
      <c r="C13" s="53"/>
      <c r="D13" s="53"/>
    </row>
    <row r="14" spans="1:6" x14ac:dyDescent="0.2">
      <c r="A14" s="45" t="s">
        <v>760</v>
      </c>
      <c r="B14" s="46" t="s">
        <v>831</v>
      </c>
      <c r="C14" s="47">
        <v>316389.64</v>
      </c>
      <c r="D14" s="44"/>
      <c r="E14" s="467"/>
    </row>
    <row r="15" spans="1:6" x14ac:dyDescent="0.2">
      <c r="A15" s="42" t="s">
        <v>252</v>
      </c>
      <c r="B15" s="43" t="s">
        <v>253</v>
      </c>
      <c r="C15" s="47"/>
      <c r="D15" s="44">
        <f>SUM(C16:C17)</f>
        <v>44885.399999999994</v>
      </c>
    </row>
    <row r="16" spans="1:6" x14ac:dyDescent="0.2">
      <c r="A16" s="45" t="s">
        <v>254</v>
      </c>
      <c r="B16" s="46" t="s">
        <v>255</v>
      </c>
      <c r="C16" s="47">
        <v>26365.8</v>
      </c>
      <c r="D16" s="47"/>
    </row>
    <row r="17" spans="1:5" x14ac:dyDescent="0.2">
      <c r="A17" s="45" t="s">
        <v>256</v>
      </c>
      <c r="B17" s="46" t="s">
        <v>257</v>
      </c>
      <c r="C17" s="47">
        <v>18519.599999999999</v>
      </c>
      <c r="D17" s="47"/>
    </row>
    <row r="18" spans="1:5" x14ac:dyDescent="0.2">
      <c r="A18" s="54" t="s">
        <v>349</v>
      </c>
      <c r="B18" s="56" t="s">
        <v>350</v>
      </c>
      <c r="C18" s="47"/>
      <c r="D18" s="44">
        <f>SUM(C19:C20)</f>
        <v>38640</v>
      </c>
    </row>
    <row r="19" spans="1:5" x14ac:dyDescent="0.2">
      <c r="A19" s="57" t="s">
        <v>508</v>
      </c>
      <c r="B19" s="58" t="s">
        <v>509</v>
      </c>
      <c r="C19" s="41">
        <v>5520</v>
      </c>
      <c r="D19" s="40"/>
    </row>
    <row r="20" spans="1:5" x14ac:dyDescent="0.2">
      <c r="A20" s="57" t="s">
        <v>351</v>
      </c>
      <c r="B20" s="58" t="s">
        <v>830</v>
      </c>
      <c r="C20" s="41">
        <v>33120</v>
      </c>
      <c r="D20" s="41"/>
    </row>
    <row r="21" spans="1:5" x14ac:dyDescent="0.2">
      <c r="A21" s="42" t="s">
        <v>184</v>
      </c>
      <c r="B21" s="59" t="s">
        <v>185</v>
      </c>
      <c r="C21" s="41"/>
      <c r="D21" s="40">
        <f>SUM(C22:C23)</f>
        <v>10230.299999999999</v>
      </c>
    </row>
    <row r="22" spans="1:5" x14ac:dyDescent="0.2">
      <c r="A22" s="45" t="s">
        <v>277</v>
      </c>
      <c r="B22" s="60" t="s">
        <v>719</v>
      </c>
      <c r="C22" s="41">
        <v>3913.27</v>
      </c>
      <c r="D22" s="40"/>
    </row>
    <row r="23" spans="1:5" x14ac:dyDescent="0.2">
      <c r="A23" s="45" t="s">
        <v>479</v>
      </c>
      <c r="B23" s="46" t="s">
        <v>480</v>
      </c>
      <c r="C23" s="48">
        <v>6317.03</v>
      </c>
      <c r="D23" s="49"/>
      <c r="E23" s="212"/>
    </row>
    <row r="24" spans="1:5" x14ac:dyDescent="0.2">
      <c r="A24" s="42" t="s">
        <v>187</v>
      </c>
      <c r="B24" s="43" t="s">
        <v>186</v>
      </c>
      <c r="C24" s="47"/>
      <c r="D24" s="44">
        <f>SUM(C25:C26)</f>
        <v>70000</v>
      </c>
    </row>
    <row r="25" spans="1:5" x14ac:dyDescent="0.2">
      <c r="A25" s="45" t="s">
        <v>766</v>
      </c>
      <c r="B25" s="46" t="s">
        <v>829</v>
      </c>
      <c r="C25" s="48"/>
      <c r="D25" s="49"/>
    </row>
    <row r="26" spans="1:5" x14ac:dyDescent="0.2">
      <c r="A26" s="45" t="s">
        <v>258</v>
      </c>
      <c r="B26" s="46" t="s">
        <v>259</v>
      </c>
      <c r="C26" s="48">
        <v>70000</v>
      </c>
      <c r="D26" s="49"/>
    </row>
    <row r="27" spans="1:5" x14ac:dyDescent="0.2">
      <c r="A27" s="45" t="s">
        <v>769</v>
      </c>
      <c r="B27" s="46" t="s">
        <v>676</v>
      </c>
      <c r="C27" s="48"/>
      <c r="D27" s="49"/>
    </row>
    <row r="28" spans="1:5" x14ac:dyDescent="0.2">
      <c r="A28" s="45" t="s">
        <v>542</v>
      </c>
      <c r="B28" s="46" t="s">
        <v>543</v>
      </c>
      <c r="C28" s="48"/>
      <c r="D28" s="49"/>
    </row>
    <row r="29" spans="1:5" x14ac:dyDescent="0.2">
      <c r="A29" s="42" t="s">
        <v>12</v>
      </c>
      <c r="B29" s="43" t="s">
        <v>13</v>
      </c>
      <c r="C29" s="48"/>
      <c r="D29" s="216">
        <f>SUM(C30:C31)</f>
        <v>64807.14</v>
      </c>
    </row>
    <row r="30" spans="1:5" x14ac:dyDescent="0.2">
      <c r="A30" s="45" t="s">
        <v>260</v>
      </c>
      <c r="B30" s="46" t="s">
        <v>261</v>
      </c>
      <c r="C30" s="48">
        <v>38441.339999999997</v>
      </c>
      <c r="D30" s="49"/>
    </row>
    <row r="31" spans="1:5" x14ac:dyDescent="0.2">
      <c r="A31" s="45" t="s">
        <v>510</v>
      </c>
      <c r="B31" s="46" t="s">
        <v>700</v>
      </c>
      <c r="C31" s="48">
        <v>26365.8</v>
      </c>
      <c r="D31" s="49"/>
    </row>
    <row r="32" spans="1:5" x14ac:dyDescent="0.2">
      <c r="A32" s="42" t="s">
        <v>302</v>
      </c>
      <c r="B32" s="43" t="s">
        <v>303</v>
      </c>
      <c r="C32" s="48"/>
      <c r="D32" s="216">
        <f>SUM(C33)</f>
        <v>0</v>
      </c>
    </row>
    <row r="33" spans="1:4" x14ac:dyDescent="0.2">
      <c r="A33" s="45" t="s">
        <v>768</v>
      </c>
      <c r="B33" s="46" t="s">
        <v>776</v>
      </c>
      <c r="C33" s="48"/>
      <c r="D33" s="49"/>
    </row>
    <row r="34" spans="1:4" x14ac:dyDescent="0.2">
      <c r="A34" s="54">
        <v>5.3</v>
      </c>
      <c r="B34" s="56" t="s">
        <v>14</v>
      </c>
      <c r="C34" s="40" t="s">
        <v>147</v>
      </c>
      <c r="D34" s="40">
        <f>SUM(D35:D37)</f>
        <v>30574</v>
      </c>
    </row>
    <row r="35" spans="1:4" x14ac:dyDescent="0.2">
      <c r="A35" s="54" t="s">
        <v>39</v>
      </c>
      <c r="B35" s="56" t="s">
        <v>586</v>
      </c>
      <c r="C35" s="40"/>
      <c r="D35" s="40">
        <f>SUM(C36)</f>
        <v>10000</v>
      </c>
    </row>
    <row r="36" spans="1:4" ht="22.5" x14ac:dyDescent="0.2">
      <c r="A36" s="57" t="s">
        <v>43</v>
      </c>
      <c r="B36" s="60" t="s">
        <v>587</v>
      </c>
      <c r="C36" s="41">
        <v>10000</v>
      </c>
      <c r="D36" s="40"/>
    </row>
    <row r="37" spans="1:4" x14ac:dyDescent="0.2">
      <c r="A37" s="54" t="s">
        <v>55</v>
      </c>
      <c r="B37" s="56" t="s">
        <v>56</v>
      </c>
      <c r="C37" s="40"/>
      <c r="D37" s="40">
        <f>SUM(C38:C39)</f>
        <v>20574</v>
      </c>
    </row>
    <row r="38" spans="1:4" x14ac:dyDescent="0.2">
      <c r="A38" s="57" t="s">
        <v>59</v>
      </c>
      <c r="B38" s="58" t="s">
        <v>60</v>
      </c>
      <c r="C38" s="41">
        <f>7774+7800</f>
        <v>15574</v>
      </c>
      <c r="D38" s="41"/>
    </row>
    <row r="39" spans="1:4" x14ac:dyDescent="0.2">
      <c r="A39" s="57" t="s">
        <v>180</v>
      </c>
      <c r="B39" s="58" t="s">
        <v>95</v>
      </c>
      <c r="C39" s="41">
        <v>5000</v>
      </c>
      <c r="D39" s="41"/>
    </row>
    <row r="40" spans="1:4" x14ac:dyDescent="0.2">
      <c r="A40" s="50">
        <v>7</v>
      </c>
      <c r="B40" s="87" t="s">
        <v>170</v>
      </c>
      <c r="C40" s="478"/>
      <c r="D40" s="480">
        <f>SUM(C44)</f>
        <v>407848.27</v>
      </c>
    </row>
    <row r="41" spans="1:4" x14ac:dyDescent="0.2">
      <c r="A41" s="50">
        <v>7.3</v>
      </c>
      <c r="B41" s="87" t="s">
        <v>197</v>
      </c>
      <c r="C41" s="478"/>
      <c r="D41" s="75"/>
    </row>
    <row r="42" spans="1:4" x14ac:dyDescent="0.2">
      <c r="A42" s="50" t="s">
        <v>141</v>
      </c>
      <c r="B42" s="87" t="s">
        <v>198</v>
      </c>
      <c r="C42" s="478"/>
      <c r="D42" s="479"/>
    </row>
    <row r="43" spans="1:4" x14ac:dyDescent="0.2">
      <c r="A43" s="50" t="s">
        <v>143</v>
      </c>
      <c r="B43" s="87" t="s">
        <v>199</v>
      </c>
      <c r="C43" s="478"/>
      <c r="D43" s="479"/>
    </row>
    <row r="44" spans="1:4" x14ac:dyDescent="0.2">
      <c r="A44" s="52" t="s">
        <v>217</v>
      </c>
      <c r="B44" s="62" t="s">
        <v>953</v>
      </c>
      <c r="C44" s="61">
        <v>407848.27</v>
      </c>
      <c r="D44" s="75"/>
    </row>
    <row r="47" spans="1:4" x14ac:dyDescent="0.2">
      <c r="C47" s="39">
        <f>SUM(C9:C44)</f>
        <v>992419.10000000009</v>
      </c>
    </row>
  </sheetData>
  <mergeCells count="2">
    <mergeCell ref="A1:D1"/>
    <mergeCell ref="A2:D2"/>
  </mergeCells>
  <phoneticPr fontId="16" type="noConversion"/>
  <pageMargins left="0.75" right="0.75" top="1" bottom="1" header="0" footer="0"/>
  <pageSetup paperSize="9" orientation="portrait" r:id="rId1"/>
  <headerFooter alignWithMargins="0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56"/>
  <sheetViews>
    <sheetView showGridLines="0" workbookViewId="0">
      <selection activeCell="G18" sqref="G18"/>
    </sheetView>
  </sheetViews>
  <sheetFormatPr baseColWidth="10" defaultRowHeight="11.25" x14ac:dyDescent="0.2"/>
  <cols>
    <col min="1" max="1" width="9.140625" style="5" customWidth="1"/>
    <col min="2" max="2" width="40.85546875" style="84" customWidth="1"/>
    <col min="3" max="3" width="11.28515625" style="5" bestFit="1" customWidth="1"/>
    <col min="4" max="4" width="9.85546875" style="5" customWidth="1"/>
    <col min="5" max="16384" width="11.42578125" style="5"/>
  </cols>
  <sheetData>
    <row r="1" spans="1:6" ht="18.75" x14ac:dyDescent="0.2">
      <c r="A1" s="540" t="s">
        <v>406</v>
      </c>
      <c r="B1" s="541"/>
      <c r="C1" s="541"/>
      <c r="D1" s="541"/>
    </row>
    <row r="2" spans="1:6" ht="15" x14ac:dyDescent="0.2">
      <c r="A2" s="542" t="s">
        <v>931</v>
      </c>
      <c r="B2" s="539"/>
      <c r="C2" s="539"/>
      <c r="D2" s="539"/>
    </row>
    <row r="3" spans="1:6" ht="12.75" x14ac:dyDescent="0.2">
      <c r="A3" s="333">
        <v>3</v>
      </c>
      <c r="B3" s="559" t="s">
        <v>421</v>
      </c>
      <c r="C3" s="559"/>
      <c r="D3" s="559"/>
    </row>
    <row r="4" spans="1:6" ht="12.75" x14ac:dyDescent="0.2">
      <c r="A4" s="336">
        <v>3.3</v>
      </c>
      <c r="B4" s="560" t="s">
        <v>96</v>
      </c>
      <c r="C4" s="560"/>
      <c r="D4" s="560"/>
    </row>
    <row r="5" spans="1:6" ht="12.75" x14ac:dyDescent="0.2">
      <c r="A5" s="336" t="s">
        <v>437</v>
      </c>
      <c r="B5" s="558" t="s">
        <v>436</v>
      </c>
      <c r="C5" s="558"/>
      <c r="D5" s="558"/>
    </row>
    <row r="6" spans="1:6" x14ac:dyDescent="0.2">
      <c r="A6" s="90" t="s">
        <v>5</v>
      </c>
      <c r="B6" s="91" t="s">
        <v>6</v>
      </c>
      <c r="C6" s="126" t="s">
        <v>400</v>
      </c>
      <c r="D6" s="33" t="s">
        <v>7</v>
      </c>
      <c r="E6" s="36"/>
      <c r="F6" s="36"/>
    </row>
    <row r="7" spans="1:6" x14ac:dyDescent="0.2">
      <c r="A7" s="90"/>
      <c r="B7" s="91"/>
      <c r="C7" s="126"/>
      <c r="D7" s="33"/>
    </row>
    <row r="8" spans="1:6" x14ac:dyDescent="0.2">
      <c r="A8" s="54"/>
      <c r="B8" s="59" t="s">
        <v>7</v>
      </c>
      <c r="C8" s="40">
        <f>SUM(C10:C53)</f>
        <v>117229.35</v>
      </c>
      <c r="D8" s="40">
        <f>D9</f>
        <v>117229.35</v>
      </c>
      <c r="E8" s="36"/>
    </row>
    <row r="9" spans="1:6" x14ac:dyDescent="0.2">
      <c r="A9" s="54">
        <v>5</v>
      </c>
      <c r="B9" s="59" t="s">
        <v>8</v>
      </c>
      <c r="C9" s="40"/>
      <c r="D9" s="40">
        <f>D10+D34</f>
        <v>117229.35</v>
      </c>
    </row>
    <row r="10" spans="1:6" x14ac:dyDescent="0.2">
      <c r="A10" s="42">
        <v>5.0999999999999996</v>
      </c>
      <c r="B10" s="43" t="s">
        <v>9</v>
      </c>
      <c r="C10" s="40"/>
      <c r="D10" s="40">
        <f>D11+D15+D18+D21+D29</f>
        <v>106848.35</v>
      </c>
    </row>
    <row r="11" spans="1:6" x14ac:dyDescent="0.2">
      <c r="A11" s="42" t="s">
        <v>10</v>
      </c>
      <c r="B11" s="43" t="s">
        <v>11</v>
      </c>
      <c r="C11" s="40"/>
      <c r="D11" s="40">
        <f>SUM(C13:C14)</f>
        <v>80784.36</v>
      </c>
    </row>
    <row r="12" spans="1:6" x14ac:dyDescent="0.2">
      <c r="A12" s="45" t="s">
        <v>251</v>
      </c>
      <c r="B12" s="46" t="s">
        <v>833</v>
      </c>
      <c r="C12" s="41"/>
      <c r="D12" s="41"/>
    </row>
    <row r="13" spans="1:6" x14ac:dyDescent="0.2">
      <c r="A13" s="45" t="s">
        <v>183</v>
      </c>
      <c r="B13" s="46" t="s">
        <v>832</v>
      </c>
      <c r="C13" s="41">
        <v>72096</v>
      </c>
      <c r="D13" s="41"/>
      <c r="E13" s="36"/>
    </row>
    <row r="14" spans="1:6" x14ac:dyDescent="0.2">
      <c r="A14" s="45" t="s">
        <v>760</v>
      </c>
      <c r="B14" s="46" t="s">
        <v>831</v>
      </c>
      <c r="C14" s="47">
        <v>8688.36</v>
      </c>
      <c r="D14" s="44"/>
      <c r="E14" s="470"/>
    </row>
    <row r="15" spans="1:6" x14ac:dyDescent="0.2">
      <c r="A15" s="42" t="s">
        <v>252</v>
      </c>
      <c r="B15" s="43" t="s">
        <v>253</v>
      </c>
      <c r="C15" s="47"/>
      <c r="D15" s="44">
        <f>SUM(C16:C17)</f>
        <v>8745.0299999999988</v>
      </c>
    </row>
    <row r="16" spans="1:6" x14ac:dyDescent="0.2">
      <c r="A16" s="45" t="s">
        <v>254</v>
      </c>
      <c r="B16" s="46" t="s">
        <v>255</v>
      </c>
      <c r="C16" s="47">
        <f>6008+724.03</f>
        <v>6732.03</v>
      </c>
      <c r="D16" s="47"/>
    </row>
    <row r="17" spans="1:4" x14ac:dyDescent="0.2">
      <c r="A17" s="45" t="s">
        <v>256</v>
      </c>
      <c r="B17" s="46" t="s">
        <v>257</v>
      </c>
      <c r="C17" s="47">
        <f>1610.4+402.6</f>
        <v>2013</v>
      </c>
      <c r="D17" s="47"/>
    </row>
    <row r="18" spans="1:4" x14ac:dyDescent="0.2">
      <c r="A18" s="54" t="s">
        <v>349</v>
      </c>
      <c r="B18" s="56" t="s">
        <v>350</v>
      </c>
      <c r="C18" s="47"/>
      <c r="D18" s="44">
        <f>SUM(C19:C20)</f>
        <v>840</v>
      </c>
    </row>
    <row r="19" spans="1:4" x14ac:dyDescent="0.2">
      <c r="A19" s="57" t="s">
        <v>508</v>
      </c>
      <c r="B19" s="58" t="s">
        <v>509</v>
      </c>
      <c r="C19" s="41">
        <v>120</v>
      </c>
      <c r="D19" s="40"/>
    </row>
    <row r="20" spans="1:4" x14ac:dyDescent="0.2">
      <c r="A20" s="57" t="s">
        <v>351</v>
      </c>
      <c r="B20" s="58" t="s">
        <v>830</v>
      </c>
      <c r="C20" s="41">
        <v>720</v>
      </c>
      <c r="D20" s="41"/>
    </row>
    <row r="21" spans="1:4" x14ac:dyDescent="0.2">
      <c r="A21" s="42" t="s">
        <v>184</v>
      </c>
      <c r="B21" s="59" t="s">
        <v>185</v>
      </c>
      <c r="C21" s="41"/>
      <c r="D21" s="40">
        <f>SUM(C22:C23)</f>
        <v>292.11</v>
      </c>
    </row>
    <row r="22" spans="1:4" x14ac:dyDescent="0.2">
      <c r="A22" s="45" t="s">
        <v>277</v>
      </c>
      <c r="B22" s="60" t="s">
        <v>719</v>
      </c>
      <c r="C22" s="229">
        <v>96.62</v>
      </c>
      <c r="D22" s="58"/>
    </row>
    <row r="23" spans="1:4" x14ac:dyDescent="0.2">
      <c r="A23" s="45" t="s">
        <v>479</v>
      </c>
      <c r="B23" s="46" t="s">
        <v>480</v>
      </c>
      <c r="C23" s="47">
        <v>195.49</v>
      </c>
      <c r="D23" s="44"/>
    </row>
    <row r="24" spans="1:4" x14ac:dyDescent="0.2">
      <c r="A24" s="42" t="s">
        <v>187</v>
      </c>
      <c r="B24" s="43" t="s">
        <v>186</v>
      </c>
      <c r="C24" s="48"/>
      <c r="D24" s="49"/>
    </row>
    <row r="25" spans="1:4" x14ac:dyDescent="0.2">
      <c r="A25" s="42" t="s">
        <v>766</v>
      </c>
      <c r="B25" s="43" t="s">
        <v>829</v>
      </c>
      <c r="C25" s="48"/>
      <c r="D25" s="49"/>
    </row>
    <row r="26" spans="1:4" x14ac:dyDescent="0.2">
      <c r="A26" s="45" t="s">
        <v>258</v>
      </c>
      <c r="B26" s="46" t="s">
        <v>259</v>
      </c>
      <c r="C26" s="48"/>
      <c r="D26" s="49"/>
    </row>
    <row r="27" spans="1:4" x14ac:dyDescent="0.2">
      <c r="A27" s="45" t="s">
        <v>769</v>
      </c>
      <c r="B27" s="46" t="s">
        <v>676</v>
      </c>
      <c r="C27" s="48"/>
      <c r="D27" s="49"/>
    </row>
    <row r="28" spans="1:4" x14ac:dyDescent="0.2">
      <c r="A28" s="45" t="s">
        <v>542</v>
      </c>
      <c r="B28" s="46" t="s">
        <v>543</v>
      </c>
      <c r="C28" s="48"/>
      <c r="D28" s="49"/>
    </row>
    <row r="29" spans="1:4" x14ac:dyDescent="0.2">
      <c r="A29" s="42" t="s">
        <v>12</v>
      </c>
      <c r="B29" s="43" t="s">
        <v>13</v>
      </c>
      <c r="C29" s="48"/>
      <c r="D29" s="216">
        <f>SUM(C30:C31)</f>
        <v>16186.849999999999</v>
      </c>
    </row>
    <row r="30" spans="1:4" x14ac:dyDescent="0.2">
      <c r="A30" s="45" t="s">
        <v>260</v>
      </c>
      <c r="B30" s="46" t="s">
        <v>261</v>
      </c>
      <c r="C30" s="48">
        <f>8399.18+1055.64</f>
        <v>9454.82</v>
      </c>
      <c r="D30" s="49"/>
    </row>
    <row r="31" spans="1:4" x14ac:dyDescent="0.2">
      <c r="A31" s="45" t="s">
        <v>510</v>
      </c>
      <c r="B31" s="46" t="s">
        <v>700</v>
      </c>
      <c r="C31" s="48">
        <f>6008+724.03</f>
        <v>6732.03</v>
      </c>
      <c r="D31" s="49"/>
    </row>
    <row r="32" spans="1:4" x14ac:dyDescent="0.2">
      <c r="A32" s="42" t="s">
        <v>302</v>
      </c>
      <c r="B32" s="43" t="s">
        <v>303</v>
      </c>
      <c r="C32" s="48"/>
      <c r="D32" s="49"/>
    </row>
    <row r="33" spans="1:4" x14ac:dyDescent="0.2">
      <c r="A33" s="45" t="s">
        <v>768</v>
      </c>
      <c r="B33" s="46" t="s">
        <v>776</v>
      </c>
      <c r="C33" s="48"/>
      <c r="D33" s="49"/>
    </row>
    <row r="34" spans="1:4" x14ac:dyDescent="0.2">
      <c r="A34" s="54">
        <v>5.3</v>
      </c>
      <c r="B34" s="59" t="s">
        <v>14</v>
      </c>
      <c r="C34" s="40" t="s">
        <v>147</v>
      </c>
      <c r="D34" s="40">
        <f>+D35+D39+D42+D45+D47+D49</f>
        <v>10381</v>
      </c>
    </row>
    <row r="35" spans="1:4" x14ac:dyDescent="0.2">
      <c r="A35" s="54" t="s">
        <v>15</v>
      </c>
      <c r="B35" s="59" t="s">
        <v>16</v>
      </c>
      <c r="C35" s="40"/>
      <c r="D35" s="40">
        <f>+C37+C38+C36</f>
        <v>3700</v>
      </c>
    </row>
    <row r="36" spans="1:4" x14ac:dyDescent="0.2">
      <c r="A36" s="57" t="s">
        <v>497</v>
      </c>
      <c r="B36" s="60" t="s">
        <v>403</v>
      </c>
      <c r="C36" s="41">
        <v>1000</v>
      </c>
      <c r="D36" s="40"/>
    </row>
    <row r="37" spans="1:4" x14ac:dyDescent="0.2">
      <c r="A37" s="57" t="s">
        <v>17</v>
      </c>
      <c r="B37" s="60" t="s">
        <v>18</v>
      </c>
      <c r="C37" s="41">
        <v>1500</v>
      </c>
      <c r="D37" s="41"/>
    </row>
    <row r="38" spans="1:4" x14ac:dyDescent="0.2">
      <c r="A38" s="57" t="s">
        <v>19</v>
      </c>
      <c r="B38" s="60" t="s">
        <v>20</v>
      </c>
      <c r="C38" s="41">
        <v>1200</v>
      </c>
      <c r="D38" s="41"/>
    </row>
    <row r="39" spans="1:4" x14ac:dyDescent="0.2">
      <c r="A39" s="54" t="s">
        <v>23</v>
      </c>
      <c r="B39" s="59" t="s">
        <v>4</v>
      </c>
      <c r="C39" s="40"/>
      <c r="D39" s="40">
        <f>+C40+C41</f>
        <v>1500</v>
      </c>
    </row>
    <row r="40" spans="1:4" x14ac:dyDescent="0.2">
      <c r="A40" s="57" t="s">
        <v>26</v>
      </c>
      <c r="B40" s="60" t="s">
        <v>285</v>
      </c>
      <c r="C40" s="41">
        <v>1000</v>
      </c>
      <c r="D40" s="41"/>
    </row>
    <row r="41" spans="1:4" x14ac:dyDescent="0.2">
      <c r="A41" s="57" t="s">
        <v>29</v>
      </c>
      <c r="B41" s="60" t="s">
        <v>489</v>
      </c>
      <c r="C41" s="41">
        <v>500</v>
      </c>
      <c r="D41" s="41"/>
    </row>
    <row r="42" spans="1:4" s="77" customFormat="1" ht="22.5" x14ac:dyDescent="0.2">
      <c r="A42" s="50" t="s">
        <v>33</v>
      </c>
      <c r="B42" s="87" t="s">
        <v>34</v>
      </c>
      <c r="C42" s="51"/>
      <c r="D42" s="51">
        <f>+C43+C44</f>
        <v>2000</v>
      </c>
    </row>
    <row r="43" spans="1:4" x14ac:dyDescent="0.2">
      <c r="A43" s="57" t="s">
        <v>35</v>
      </c>
      <c r="B43" s="60" t="s">
        <v>36</v>
      </c>
      <c r="C43" s="41">
        <v>1000</v>
      </c>
      <c r="D43" s="41"/>
    </row>
    <row r="44" spans="1:4" x14ac:dyDescent="0.2">
      <c r="A44" s="57" t="s">
        <v>37</v>
      </c>
      <c r="B44" s="60" t="s">
        <v>38</v>
      </c>
      <c r="C44" s="41">
        <v>1000</v>
      </c>
      <c r="D44" s="41"/>
    </row>
    <row r="45" spans="1:4" x14ac:dyDescent="0.2">
      <c r="A45" s="54" t="s">
        <v>39</v>
      </c>
      <c r="B45" s="59" t="s">
        <v>40</v>
      </c>
      <c r="C45" s="40"/>
      <c r="D45" s="40">
        <f>+C46</f>
        <v>300</v>
      </c>
    </row>
    <row r="46" spans="1:4" x14ac:dyDescent="0.2">
      <c r="A46" s="57" t="s">
        <v>41</v>
      </c>
      <c r="B46" s="60" t="s">
        <v>42</v>
      </c>
      <c r="C46" s="41">
        <v>300</v>
      </c>
      <c r="D46" s="41"/>
    </row>
    <row r="47" spans="1:4" x14ac:dyDescent="0.2">
      <c r="A47" s="54" t="s">
        <v>51</v>
      </c>
      <c r="B47" s="59" t="s">
        <v>52</v>
      </c>
      <c r="C47" s="40"/>
      <c r="D47" s="40">
        <f>+C48</f>
        <v>500</v>
      </c>
    </row>
    <row r="48" spans="1:4" x14ac:dyDescent="0.2">
      <c r="A48" s="57" t="s">
        <v>53</v>
      </c>
      <c r="B48" s="60" t="s">
        <v>860</v>
      </c>
      <c r="C48" s="41">
        <v>500</v>
      </c>
      <c r="D48" s="41"/>
    </row>
    <row r="49" spans="1:4" x14ac:dyDescent="0.2">
      <c r="A49" s="54" t="s">
        <v>55</v>
      </c>
      <c r="B49" s="59" t="s">
        <v>56</v>
      </c>
      <c r="C49" s="40"/>
      <c r="D49" s="40">
        <f>SUM(C50:C53)</f>
        <v>2381</v>
      </c>
    </row>
    <row r="50" spans="1:4" x14ac:dyDescent="0.2">
      <c r="A50" s="57" t="s">
        <v>59</v>
      </c>
      <c r="B50" s="60" t="s">
        <v>837</v>
      </c>
      <c r="C50" s="41">
        <f>912+169</f>
        <v>1081</v>
      </c>
      <c r="D50" s="40"/>
    </row>
    <row r="51" spans="1:4" x14ac:dyDescent="0.2">
      <c r="A51" s="57" t="s">
        <v>63</v>
      </c>
      <c r="B51" s="60" t="s">
        <v>179</v>
      </c>
      <c r="C51" s="41">
        <v>500</v>
      </c>
      <c r="D51" s="41"/>
    </row>
    <row r="52" spans="1:4" x14ac:dyDescent="0.2">
      <c r="A52" s="57" t="s">
        <v>65</v>
      </c>
      <c r="B52" s="60" t="s">
        <v>636</v>
      </c>
      <c r="C52" s="41">
        <v>300</v>
      </c>
      <c r="D52" s="41"/>
    </row>
    <row r="53" spans="1:4" ht="22.5" x14ac:dyDescent="0.2">
      <c r="A53" s="52" t="s">
        <v>67</v>
      </c>
      <c r="B53" s="46" t="s">
        <v>861</v>
      </c>
      <c r="C53" s="41">
        <v>500</v>
      </c>
      <c r="D53" s="41"/>
    </row>
    <row r="56" spans="1:4" x14ac:dyDescent="0.2">
      <c r="C56" s="36">
        <f>SUM(C9:C53)</f>
        <v>117229.35</v>
      </c>
    </row>
  </sheetData>
  <mergeCells count="5">
    <mergeCell ref="B5:D5"/>
    <mergeCell ref="A1:D1"/>
    <mergeCell ref="A2:D2"/>
    <mergeCell ref="B3:D3"/>
    <mergeCell ref="B4:D4"/>
  </mergeCells>
  <phoneticPr fontId="16" type="noConversion"/>
  <pageMargins left="0.74803149606299213" right="0.74803149606299213" top="0.98425196850393704" bottom="0.98425196850393704" header="0" footer="0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F66"/>
  <sheetViews>
    <sheetView showGridLines="0" workbookViewId="0">
      <selection activeCell="E67" sqref="E67"/>
    </sheetView>
  </sheetViews>
  <sheetFormatPr baseColWidth="10" defaultRowHeight="12.75" x14ac:dyDescent="0.2"/>
  <cols>
    <col min="1" max="1" width="11.42578125" style="28"/>
    <col min="2" max="2" width="46.85546875" style="81" customWidth="1"/>
    <col min="3" max="3" width="13.28515625" style="38" bestFit="1" customWidth="1"/>
    <col min="4" max="4" width="11.7109375" style="28" customWidth="1"/>
    <col min="5" max="16384" width="11.42578125" style="4"/>
  </cols>
  <sheetData>
    <row r="1" spans="1:6" ht="18.75" x14ac:dyDescent="0.2">
      <c r="A1" s="540" t="s">
        <v>406</v>
      </c>
      <c r="B1" s="541"/>
      <c r="C1" s="541"/>
      <c r="D1" s="541"/>
    </row>
    <row r="2" spans="1:6" ht="15" x14ac:dyDescent="0.2">
      <c r="A2" s="542" t="s">
        <v>931</v>
      </c>
      <c r="B2" s="539"/>
      <c r="C2" s="539"/>
      <c r="D2" s="539"/>
    </row>
    <row r="3" spans="1:6" x14ac:dyDescent="0.2">
      <c r="A3" s="371"/>
      <c r="B3" s="350"/>
      <c r="C3" s="350"/>
      <c r="D3" s="350"/>
    </row>
    <row r="4" spans="1:6" x14ac:dyDescent="0.2">
      <c r="A4" s="336">
        <v>3</v>
      </c>
      <c r="B4" s="345" t="s">
        <v>421</v>
      </c>
      <c r="C4" s="350"/>
      <c r="D4" s="350"/>
    </row>
    <row r="5" spans="1:6" x14ac:dyDescent="0.2">
      <c r="A5" s="493">
        <v>3.3</v>
      </c>
      <c r="B5" s="494" t="s">
        <v>96</v>
      </c>
      <c r="C5" s="350"/>
      <c r="D5" s="350"/>
    </row>
    <row r="6" spans="1:6" ht="15" x14ac:dyDescent="0.2">
      <c r="A6" s="493" t="s">
        <v>438</v>
      </c>
      <c r="B6" s="494" t="s">
        <v>227</v>
      </c>
      <c r="C6" s="350"/>
      <c r="D6" s="372"/>
    </row>
    <row r="7" spans="1:6" x14ac:dyDescent="0.2">
      <c r="A7" s="107" t="s">
        <v>5</v>
      </c>
      <c r="B7" s="108" t="s">
        <v>6</v>
      </c>
      <c r="C7" s="126" t="s">
        <v>400</v>
      </c>
      <c r="D7" s="33" t="s">
        <v>7</v>
      </c>
      <c r="E7" s="18"/>
      <c r="F7" s="18"/>
    </row>
    <row r="8" spans="1:6" x14ac:dyDescent="0.2">
      <c r="A8" s="107"/>
      <c r="B8" s="108"/>
      <c r="C8" s="126"/>
      <c r="D8" s="33"/>
    </row>
    <row r="9" spans="1:6" x14ac:dyDescent="0.2">
      <c r="A9" s="50"/>
      <c r="B9" s="87" t="s">
        <v>7</v>
      </c>
      <c r="C9" s="51">
        <f>SUM(C13:C63)</f>
        <v>211616.76</v>
      </c>
      <c r="D9" s="51">
        <f>+D10+D43+D59+D54</f>
        <v>211616.76</v>
      </c>
      <c r="E9" s="18"/>
    </row>
    <row r="10" spans="1:6" x14ac:dyDescent="0.2">
      <c r="A10" s="50">
        <v>5</v>
      </c>
      <c r="B10" s="87" t="s">
        <v>8</v>
      </c>
      <c r="C10" s="51"/>
      <c r="D10" s="51">
        <f>+D11+D35+D39</f>
        <v>198616.76</v>
      </c>
    </row>
    <row r="11" spans="1:6" x14ac:dyDescent="0.2">
      <c r="A11" s="42">
        <v>5.0999999999999996</v>
      </c>
      <c r="B11" s="43" t="s">
        <v>9</v>
      </c>
      <c r="C11" s="51"/>
      <c r="D11" s="51">
        <f>D12+D16+D19+D22+D25+D30+D33</f>
        <v>187419.76</v>
      </c>
    </row>
    <row r="12" spans="1:6" x14ac:dyDescent="0.2">
      <c r="A12" s="42" t="s">
        <v>10</v>
      </c>
      <c r="B12" s="43" t="s">
        <v>11</v>
      </c>
      <c r="C12" s="51"/>
      <c r="D12" s="51">
        <f>SUM(C13:C15)</f>
        <v>100183.3</v>
      </c>
    </row>
    <row r="13" spans="1:6" x14ac:dyDescent="0.2">
      <c r="A13" s="45" t="s">
        <v>251</v>
      </c>
      <c r="B13" s="46" t="s">
        <v>833</v>
      </c>
      <c r="C13" s="53"/>
      <c r="D13" s="53"/>
    </row>
    <row r="14" spans="1:6" x14ac:dyDescent="0.2">
      <c r="A14" s="45" t="s">
        <v>183</v>
      </c>
      <c r="B14" s="46" t="s">
        <v>832</v>
      </c>
      <c r="C14" s="53"/>
      <c r="D14" s="53"/>
    </row>
    <row r="15" spans="1:6" x14ac:dyDescent="0.2">
      <c r="A15" s="45" t="s">
        <v>760</v>
      </c>
      <c r="B15" s="46" t="s">
        <v>831</v>
      </c>
      <c r="C15" s="67">
        <v>100183.3</v>
      </c>
      <c r="D15" s="51"/>
      <c r="E15" s="467"/>
    </row>
    <row r="16" spans="1:6" x14ac:dyDescent="0.2">
      <c r="A16" s="42" t="s">
        <v>252</v>
      </c>
      <c r="B16" s="43" t="s">
        <v>253</v>
      </c>
      <c r="C16" s="53"/>
      <c r="D16" s="51">
        <f>SUM(C17:C18)</f>
        <v>13582.41</v>
      </c>
    </row>
    <row r="17" spans="1:4" x14ac:dyDescent="0.2">
      <c r="A17" s="45" t="s">
        <v>254</v>
      </c>
      <c r="B17" s="46" t="s">
        <v>255</v>
      </c>
      <c r="C17" s="53">
        <v>8348.61</v>
      </c>
      <c r="D17" s="51"/>
    </row>
    <row r="18" spans="1:4" x14ac:dyDescent="0.2">
      <c r="A18" s="45" t="s">
        <v>256</v>
      </c>
      <c r="B18" s="46" t="s">
        <v>257</v>
      </c>
      <c r="C18" s="53">
        <v>5233.8</v>
      </c>
      <c r="D18" s="51"/>
    </row>
    <row r="19" spans="1:4" x14ac:dyDescent="0.2">
      <c r="A19" s="54" t="s">
        <v>349</v>
      </c>
      <c r="B19" s="56" t="s">
        <v>350</v>
      </c>
      <c r="C19" s="53"/>
      <c r="D19" s="51">
        <f>SUM(C20:C21)</f>
        <v>10920</v>
      </c>
    </row>
    <row r="20" spans="1:4" x14ac:dyDescent="0.2">
      <c r="A20" s="57" t="s">
        <v>508</v>
      </c>
      <c r="B20" s="58" t="s">
        <v>509</v>
      </c>
      <c r="C20" s="53">
        <v>1560</v>
      </c>
      <c r="D20" s="51"/>
    </row>
    <row r="21" spans="1:4" x14ac:dyDescent="0.2">
      <c r="A21" s="57" t="s">
        <v>351</v>
      </c>
      <c r="B21" s="58" t="s">
        <v>830</v>
      </c>
      <c r="C21" s="53">
        <v>9360</v>
      </c>
      <c r="D21" s="53"/>
    </row>
    <row r="22" spans="1:4" x14ac:dyDescent="0.2">
      <c r="A22" s="42" t="s">
        <v>184</v>
      </c>
      <c r="B22" s="59" t="s">
        <v>185</v>
      </c>
      <c r="C22" s="53"/>
      <c r="D22" s="51">
        <f>SUM(C23:C24)</f>
        <v>2213.17</v>
      </c>
    </row>
    <row r="23" spans="1:4" x14ac:dyDescent="0.2">
      <c r="A23" s="45" t="s">
        <v>277</v>
      </c>
      <c r="B23" s="60" t="s">
        <v>719</v>
      </c>
      <c r="C23" s="109">
        <v>966.24</v>
      </c>
      <c r="D23" s="110"/>
    </row>
    <row r="24" spans="1:4" x14ac:dyDescent="0.2">
      <c r="A24" s="45" t="s">
        <v>479</v>
      </c>
      <c r="B24" s="46" t="s">
        <v>480</v>
      </c>
      <c r="C24" s="53">
        <v>1246.93</v>
      </c>
      <c r="D24" s="51"/>
    </row>
    <row r="25" spans="1:4" x14ac:dyDescent="0.2">
      <c r="A25" s="42" t="s">
        <v>187</v>
      </c>
      <c r="B25" s="43" t="s">
        <v>186</v>
      </c>
      <c r="C25" s="53"/>
      <c r="D25" s="51">
        <f>SUM(C26:C29)</f>
        <v>40000</v>
      </c>
    </row>
    <row r="26" spans="1:4" x14ac:dyDescent="0.2">
      <c r="A26" s="45" t="s">
        <v>766</v>
      </c>
      <c r="B26" s="46" t="s">
        <v>829</v>
      </c>
      <c r="C26" s="53"/>
      <c r="D26" s="53"/>
    </row>
    <row r="27" spans="1:4" x14ac:dyDescent="0.2">
      <c r="A27" s="45" t="s">
        <v>258</v>
      </c>
      <c r="B27" s="46" t="s">
        <v>259</v>
      </c>
      <c r="C27" s="53">
        <v>40000</v>
      </c>
      <c r="D27" s="53"/>
    </row>
    <row r="28" spans="1:4" x14ac:dyDescent="0.2">
      <c r="A28" s="45" t="s">
        <v>769</v>
      </c>
      <c r="B28" s="46" t="s">
        <v>676</v>
      </c>
      <c r="C28" s="53"/>
      <c r="D28" s="53"/>
    </row>
    <row r="29" spans="1:4" x14ac:dyDescent="0.2">
      <c r="A29" s="45" t="s">
        <v>542</v>
      </c>
      <c r="B29" s="46" t="s">
        <v>543</v>
      </c>
      <c r="C29" s="53"/>
      <c r="D29" s="53"/>
    </row>
    <row r="30" spans="1:4" x14ac:dyDescent="0.2">
      <c r="A30" s="42" t="s">
        <v>12</v>
      </c>
      <c r="B30" s="43" t="s">
        <v>13</v>
      </c>
      <c r="C30" s="53"/>
      <c r="D30" s="51">
        <f>SUM(C31:C32)</f>
        <v>20520.88</v>
      </c>
    </row>
    <row r="31" spans="1:4" x14ac:dyDescent="0.2">
      <c r="A31" s="45" t="s">
        <v>260</v>
      </c>
      <c r="B31" s="46" t="s">
        <v>261</v>
      </c>
      <c r="C31" s="53">
        <v>12172.27</v>
      </c>
      <c r="D31" s="53"/>
    </row>
    <row r="32" spans="1:4" x14ac:dyDescent="0.2">
      <c r="A32" s="45" t="s">
        <v>510</v>
      </c>
      <c r="B32" s="46" t="s">
        <v>700</v>
      </c>
      <c r="C32" s="53">
        <v>8348.61</v>
      </c>
      <c r="D32" s="53"/>
    </row>
    <row r="33" spans="1:4" x14ac:dyDescent="0.2">
      <c r="A33" s="42" t="s">
        <v>302</v>
      </c>
      <c r="B33" s="43" t="s">
        <v>303</v>
      </c>
      <c r="C33" s="53"/>
      <c r="D33" s="51">
        <f>SUM(C34)</f>
        <v>0</v>
      </c>
    </row>
    <row r="34" spans="1:4" x14ac:dyDescent="0.2">
      <c r="A34" s="45" t="s">
        <v>768</v>
      </c>
      <c r="B34" s="46" t="s">
        <v>776</v>
      </c>
      <c r="C34" s="53"/>
      <c r="D34" s="53"/>
    </row>
    <row r="35" spans="1:4" x14ac:dyDescent="0.2">
      <c r="A35" s="50">
        <v>5.3</v>
      </c>
      <c r="B35" s="87" t="s">
        <v>14</v>
      </c>
      <c r="C35" s="51"/>
      <c r="D35" s="51">
        <f>D36</f>
        <v>11197</v>
      </c>
    </row>
    <row r="36" spans="1:4" x14ac:dyDescent="0.2">
      <c r="A36" s="50" t="s">
        <v>55</v>
      </c>
      <c r="B36" s="87" t="s">
        <v>56</v>
      </c>
      <c r="C36" s="51"/>
      <c r="D36" s="51">
        <f>SUM(C37:C38)</f>
        <v>11197</v>
      </c>
    </row>
    <row r="37" spans="1:4" x14ac:dyDescent="0.2">
      <c r="A37" s="52" t="s">
        <v>59</v>
      </c>
      <c r="B37" s="62" t="s">
        <v>837</v>
      </c>
      <c r="C37" s="53">
        <f>2197+4000</f>
        <v>6197</v>
      </c>
      <c r="D37" s="53"/>
    </row>
    <row r="38" spans="1:4" x14ac:dyDescent="0.2">
      <c r="A38" s="52" t="s">
        <v>180</v>
      </c>
      <c r="B38" s="62" t="s">
        <v>95</v>
      </c>
      <c r="C38" s="53">
        <v>5000</v>
      </c>
      <c r="D38" s="53"/>
    </row>
    <row r="39" spans="1:4" x14ac:dyDescent="0.2">
      <c r="A39" s="50">
        <v>5.6</v>
      </c>
      <c r="B39" s="87" t="s">
        <v>82</v>
      </c>
      <c r="C39" s="51"/>
      <c r="D39" s="51">
        <f>+D40</f>
        <v>0</v>
      </c>
    </row>
    <row r="40" spans="1:4" x14ac:dyDescent="0.2">
      <c r="A40" s="50" t="s">
        <v>83</v>
      </c>
      <c r="B40" s="87" t="s">
        <v>229</v>
      </c>
      <c r="C40" s="51"/>
      <c r="D40" s="51">
        <f>+C42</f>
        <v>0</v>
      </c>
    </row>
    <row r="41" spans="1:4" x14ac:dyDescent="0.2">
      <c r="A41" s="50" t="s">
        <v>85</v>
      </c>
      <c r="B41" s="87" t="s">
        <v>112</v>
      </c>
      <c r="C41" s="51"/>
      <c r="D41" s="51"/>
    </row>
    <row r="42" spans="1:4" x14ac:dyDescent="0.2">
      <c r="A42" s="52" t="s">
        <v>139</v>
      </c>
      <c r="B42" s="62" t="s">
        <v>230</v>
      </c>
      <c r="C42" s="53"/>
      <c r="D42" s="53"/>
    </row>
    <row r="43" spans="1:4" x14ac:dyDescent="0.2">
      <c r="A43" s="50">
        <v>7</v>
      </c>
      <c r="B43" s="87" t="s">
        <v>170</v>
      </c>
      <c r="C43" s="51"/>
      <c r="D43" s="51">
        <f>+D44+D49</f>
        <v>13000</v>
      </c>
    </row>
    <row r="44" spans="1:4" x14ac:dyDescent="0.2">
      <c r="A44" s="50">
        <v>7.3</v>
      </c>
      <c r="B44" s="87" t="s">
        <v>197</v>
      </c>
      <c r="C44" s="51"/>
      <c r="D44" s="51">
        <f>+D45</f>
        <v>10000</v>
      </c>
    </row>
    <row r="45" spans="1:4" x14ac:dyDescent="0.2">
      <c r="A45" s="50" t="s">
        <v>141</v>
      </c>
      <c r="B45" s="87" t="s">
        <v>198</v>
      </c>
      <c r="C45" s="51"/>
      <c r="D45" s="51">
        <f>+C47+C48</f>
        <v>10000</v>
      </c>
    </row>
    <row r="46" spans="1:4" x14ac:dyDescent="0.2">
      <c r="A46" s="50" t="s">
        <v>143</v>
      </c>
      <c r="B46" s="87" t="s">
        <v>199</v>
      </c>
      <c r="C46" s="51"/>
      <c r="D46" s="51"/>
    </row>
    <row r="47" spans="1:4" x14ac:dyDescent="0.2">
      <c r="A47" s="52" t="s">
        <v>217</v>
      </c>
      <c r="B47" s="62" t="s">
        <v>317</v>
      </c>
      <c r="C47" s="53"/>
      <c r="D47" s="53"/>
    </row>
    <row r="48" spans="1:4" x14ac:dyDescent="0.2">
      <c r="A48" s="52" t="s">
        <v>218</v>
      </c>
      <c r="B48" s="62" t="s">
        <v>228</v>
      </c>
      <c r="C48" s="53">
        <v>10000</v>
      </c>
      <c r="D48" s="53"/>
    </row>
    <row r="49" spans="1:5" x14ac:dyDescent="0.2">
      <c r="A49" s="50">
        <v>7.5</v>
      </c>
      <c r="B49" s="87" t="s">
        <v>170</v>
      </c>
      <c r="C49" s="53"/>
      <c r="D49" s="51">
        <f>+D50</f>
        <v>3000</v>
      </c>
    </row>
    <row r="50" spans="1:5" x14ac:dyDescent="0.2">
      <c r="A50" s="50" t="s">
        <v>173</v>
      </c>
      <c r="B50" s="87" t="s">
        <v>174</v>
      </c>
      <c r="C50" s="51"/>
      <c r="D50" s="51">
        <f>SUM(C52:C55)</f>
        <v>3000</v>
      </c>
    </row>
    <row r="51" spans="1:5" x14ac:dyDescent="0.2">
      <c r="A51" s="50" t="s">
        <v>175</v>
      </c>
      <c r="B51" s="87" t="s">
        <v>176</v>
      </c>
      <c r="C51" s="51"/>
      <c r="D51" s="51"/>
    </row>
    <row r="52" spans="1:5" ht="22.5" x14ac:dyDescent="0.2">
      <c r="A52" s="52" t="s">
        <v>223</v>
      </c>
      <c r="B52" s="62" t="s">
        <v>902</v>
      </c>
      <c r="C52" s="53">
        <v>3000</v>
      </c>
      <c r="D52" s="53"/>
    </row>
    <row r="53" spans="1:5" x14ac:dyDescent="0.2">
      <c r="A53" s="52" t="s">
        <v>224</v>
      </c>
      <c r="B53" s="62" t="s">
        <v>903</v>
      </c>
      <c r="C53" s="53"/>
      <c r="D53" s="53"/>
    </row>
    <row r="54" spans="1:5" x14ac:dyDescent="0.2">
      <c r="A54" s="50">
        <v>8</v>
      </c>
      <c r="B54" s="43" t="s">
        <v>74</v>
      </c>
      <c r="C54" s="51"/>
      <c r="D54" s="51">
        <f>+D55</f>
        <v>0</v>
      </c>
    </row>
    <row r="55" spans="1:5" x14ac:dyDescent="0.2">
      <c r="A55" s="50">
        <v>8.4</v>
      </c>
      <c r="B55" s="43" t="s">
        <v>75</v>
      </c>
      <c r="C55" s="51"/>
      <c r="D55" s="51">
        <f>+D56</f>
        <v>0</v>
      </c>
    </row>
    <row r="56" spans="1:5" x14ac:dyDescent="0.2">
      <c r="A56" s="50" t="s">
        <v>76</v>
      </c>
      <c r="B56" s="43" t="s">
        <v>77</v>
      </c>
      <c r="C56" s="51"/>
      <c r="D56" s="51">
        <f>SUM(C57:C58)</f>
        <v>0</v>
      </c>
    </row>
    <row r="57" spans="1:5" x14ac:dyDescent="0.2">
      <c r="A57" s="52" t="s">
        <v>786</v>
      </c>
      <c r="B57" s="62" t="s">
        <v>1</v>
      </c>
      <c r="C57" s="53"/>
      <c r="D57" s="53"/>
      <c r="E57" s="69"/>
    </row>
    <row r="58" spans="1:5" x14ac:dyDescent="0.2">
      <c r="A58" s="52" t="s">
        <v>283</v>
      </c>
      <c r="B58" s="62" t="s">
        <v>787</v>
      </c>
      <c r="C58" s="53"/>
      <c r="D58" s="201"/>
    </row>
    <row r="59" spans="1:5" x14ac:dyDescent="0.2">
      <c r="A59" s="50">
        <v>9</v>
      </c>
      <c r="B59" s="87" t="s">
        <v>126</v>
      </c>
      <c r="C59" s="51"/>
      <c r="D59" s="51">
        <f>+D60</f>
        <v>0</v>
      </c>
    </row>
    <row r="60" spans="1:5" x14ac:dyDescent="0.2">
      <c r="A60" s="50">
        <v>9.6</v>
      </c>
      <c r="B60" s="87" t="s">
        <v>140</v>
      </c>
      <c r="C60" s="51"/>
      <c r="D60" s="51">
        <f>+D61</f>
        <v>0</v>
      </c>
    </row>
    <row r="61" spans="1:5" x14ac:dyDescent="0.2">
      <c r="A61" s="50" t="s">
        <v>128</v>
      </c>
      <c r="B61" s="87" t="s">
        <v>129</v>
      </c>
      <c r="C61" s="51"/>
      <c r="D61" s="51">
        <f>+C63</f>
        <v>0</v>
      </c>
    </row>
    <row r="62" spans="1:5" x14ac:dyDescent="0.2">
      <c r="A62" s="52" t="s">
        <v>130</v>
      </c>
      <c r="B62" s="62" t="s">
        <v>862</v>
      </c>
      <c r="C62" s="53"/>
      <c r="D62" s="53"/>
    </row>
    <row r="63" spans="1:5" x14ac:dyDescent="0.2">
      <c r="A63" s="52" t="s">
        <v>132</v>
      </c>
      <c r="B63" s="62" t="s">
        <v>863</v>
      </c>
      <c r="C63" s="53"/>
      <c r="D63" s="53"/>
    </row>
    <row r="66" spans="3:3" x14ac:dyDescent="0.2">
      <c r="C66" s="97">
        <f>SUM(C10:C63)</f>
        <v>211616.76</v>
      </c>
    </row>
  </sheetData>
  <mergeCells count="2">
    <mergeCell ref="A1:D1"/>
    <mergeCell ref="A2:D2"/>
  </mergeCells>
  <phoneticPr fontId="16" type="noConversion"/>
  <pageMargins left="0.74803149606299213" right="0.74803149606299213" top="0.98425196850393704" bottom="0.98425196850393704" header="0" footer="0"/>
  <pageSetup paperSize="9" scale="85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F759"/>
  <sheetViews>
    <sheetView showGridLines="0" tabSelected="1" workbookViewId="0">
      <selection activeCell="G14" sqref="G14"/>
    </sheetView>
  </sheetViews>
  <sheetFormatPr baseColWidth="10" defaultRowHeight="12.75" x14ac:dyDescent="0.2"/>
  <cols>
    <col min="1" max="1" width="10.42578125" style="24" bestFit="1" customWidth="1"/>
    <col min="2" max="2" width="48.28515625" style="113" customWidth="1"/>
    <col min="3" max="3" width="11.7109375" style="136" bestFit="1" customWidth="1"/>
    <col min="4" max="4" width="13.42578125" style="73" customWidth="1"/>
    <col min="5" max="6" width="11.7109375" style="4" bestFit="1" customWidth="1"/>
    <col min="7" max="16384" width="11.42578125" style="4"/>
  </cols>
  <sheetData>
    <row r="1" spans="1:6" ht="18.75" x14ac:dyDescent="0.2">
      <c r="A1" s="538" t="s">
        <v>406</v>
      </c>
      <c r="B1" s="538"/>
      <c r="C1" s="538"/>
      <c r="D1" s="538"/>
    </row>
    <row r="2" spans="1:6" ht="15" x14ac:dyDescent="0.2">
      <c r="A2" s="539" t="s">
        <v>931</v>
      </c>
      <c r="B2" s="539"/>
      <c r="C2" s="539"/>
      <c r="D2" s="539"/>
    </row>
    <row r="3" spans="1:6" ht="15" x14ac:dyDescent="0.2">
      <c r="A3" s="333">
        <v>1</v>
      </c>
      <c r="B3" s="481" t="s">
        <v>4</v>
      </c>
      <c r="C3" s="346"/>
      <c r="D3" s="347"/>
    </row>
    <row r="4" spans="1:6" ht="15" x14ac:dyDescent="0.2">
      <c r="A4" s="336">
        <v>1.1000000000000001</v>
      </c>
      <c r="B4" s="345" t="s">
        <v>415</v>
      </c>
      <c r="C4" s="346"/>
      <c r="D4" s="347"/>
    </row>
    <row r="5" spans="1:6" ht="15" x14ac:dyDescent="0.2">
      <c r="A5" s="336" t="s">
        <v>449</v>
      </c>
      <c r="B5" s="345" t="s">
        <v>415</v>
      </c>
      <c r="C5" s="346"/>
      <c r="D5" s="347"/>
    </row>
    <row r="6" spans="1:6" s="101" customFormat="1" x14ac:dyDescent="0.2">
      <c r="A6" s="145" t="s">
        <v>5</v>
      </c>
      <c r="B6" s="122" t="s">
        <v>6</v>
      </c>
      <c r="C6" s="33" t="s">
        <v>400</v>
      </c>
      <c r="D6" s="33" t="s">
        <v>7</v>
      </c>
      <c r="E6" s="204"/>
      <c r="F6" s="204"/>
    </row>
    <row r="7" spans="1:6" s="101" customFormat="1" x14ac:dyDescent="0.2">
      <c r="A7" s="123"/>
      <c r="B7" s="122"/>
      <c r="C7" s="32"/>
      <c r="D7" s="129"/>
    </row>
    <row r="8" spans="1:6" x14ac:dyDescent="0.2">
      <c r="A8" s="42"/>
      <c r="B8" s="43" t="s">
        <v>7</v>
      </c>
      <c r="C8" s="44">
        <f>SUM(C9:C89)</f>
        <v>4026645.6449999996</v>
      </c>
      <c r="D8" s="44">
        <f>D9+D74+D81</f>
        <v>4026645.6449999996</v>
      </c>
      <c r="E8" s="18"/>
    </row>
    <row r="9" spans="1:6" x14ac:dyDescent="0.2">
      <c r="A9" s="42">
        <v>5</v>
      </c>
      <c r="B9" s="43" t="s">
        <v>8</v>
      </c>
      <c r="C9" s="44"/>
      <c r="D9" s="44">
        <f>D10+D35+D71</f>
        <v>3801145.6449999996</v>
      </c>
    </row>
    <row r="10" spans="1:6" x14ac:dyDescent="0.2">
      <c r="A10" s="42">
        <v>5.0999999999999996</v>
      </c>
      <c r="B10" s="43" t="s">
        <v>9</v>
      </c>
      <c r="C10" s="44"/>
      <c r="D10" s="44">
        <f>D11+D16+D19+D22+D25+D30+D33</f>
        <v>2039360.6449999998</v>
      </c>
      <c r="F10" s="18"/>
    </row>
    <row r="11" spans="1:6" x14ac:dyDescent="0.2">
      <c r="A11" s="42" t="s">
        <v>10</v>
      </c>
      <c r="B11" s="43" t="s">
        <v>11</v>
      </c>
      <c r="C11" s="44"/>
      <c r="D11" s="44">
        <f>SUM(C12:C15)</f>
        <v>1547347.4649999999</v>
      </c>
    </row>
    <row r="12" spans="1:6" x14ac:dyDescent="0.2">
      <c r="A12" s="45" t="s">
        <v>251</v>
      </c>
      <c r="B12" s="46" t="s">
        <v>762</v>
      </c>
      <c r="C12" s="47">
        <v>36705.794999999998</v>
      </c>
      <c r="D12" s="44"/>
    </row>
    <row r="13" spans="1:6" ht="33.75" x14ac:dyDescent="0.2">
      <c r="A13" s="45" t="s">
        <v>773</v>
      </c>
      <c r="B13" s="46" t="s">
        <v>881</v>
      </c>
      <c r="C13" s="47">
        <v>248680.61</v>
      </c>
      <c r="D13" s="44"/>
    </row>
    <row r="14" spans="1:6" x14ac:dyDescent="0.2">
      <c r="A14" s="45" t="s">
        <v>183</v>
      </c>
      <c r="B14" s="46" t="s">
        <v>763</v>
      </c>
      <c r="C14" s="47">
        <v>907425.12</v>
      </c>
      <c r="D14" s="47"/>
      <c r="E14" s="18"/>
    </row>
    <row r="15" spans="1:6" x14ac:dyDescent="0.2">
      <c r="A15" s="45" t="s">
        <v>760</v>
      </c>
      <c r="B15" s="46" t="s">
        <v>764</v>
      </c>
      <c r="C15" s="47">
        <v>354535.94</v>
      </c>
      <c r="D15" s="47"/>
      <c r="E15" s="18"/>
    </row>
    <row r="16" spans="1:6" x14ac:dyDescent="0.2">
      <c r="A16" s="42" t="s">
        <v>252</v>
      </c>
      <c r="B16" s="43" t="s">
        <v>253</v>
      </c>
      <c r="C16" s="47"/>
      <c r="D16" s="44">
        <f>SUM(C17:C18)</f>
        <v>142605.22</v>
      </c>
    </row>
    <row r="17" spans="1:4" x14ac:dyDescent="0.2">
      <c r="A17" s="45" t="s">
        <v>254</v>
      </c>
      <c r="B17" s="46" t="s">
        <v>255</v>
      </c>
      <c r="C17" s="47">
        <f>75618.76+29544.66</f>
        <v>105163.42</v>
      </c>
      <c r="D17" s="47"/>
    </row>
    <row r="18" spans="1:4" x14ac:dyDescent="0.2">
      <c r="A18" s="45" t="s">
        <v>256</v>
      </c>
      <c r="B18" s="46" t="s">
        <v>257</v>
      </c>
      <c r="C18" s="47">
        <f>20935.2+16506.6</f>
        <v>37441.800000000003</v>
      </c>
      <c r="D18" s="47"/>
    </row>
    <row r="19" spans="1:4" x14ac:dyDescent="0.2">
      <c r="A19" s="54" t="s">
        <v>349</v>
      </c>
      <c r="B19" s="56" t="s">
        <v>350</v>
      </c>
      <c r="C19" s="47"/>
      <c r="D19" s="44">
        <f>SUM(C20:C21)</f>
        <v>34440</v>
      </c>
    </row>
    <row r="20" spans="1:4" x14ac:dyDescent="0.2">
      <c r="A20" s="57" t="s">
        <v>508</v>
      </c>
      <c r="B20" s="58" t="s">
        <v>509</v>
      </c>
      <c r="C20" s="47">
        <v>4920</v>
      </c>
      <c r="D20" s="44"/>
    </row>
    <row r="21" spans="1:4" x14ac:dyDescent="0.2">
      <c r="A21" s="57" t="s">
        <v>351</v>
      </c>
      <c r="B21" s="58" t="s">
        <v>765</v>
      </c>
      <c r="C21" s="47">
        <v>29520</v>
      </c>
      <c r="D21" s="47"/>
    </row>
    <row r="22" spans="1:4" x14ac:dyDescent="0.2">
      <c r="A22" s="42" t="s">
        <v>184</v>
      </c>
      <c r="B22" s="59" t="s">
        <v>185</v>
      </c>
      <c r="C22" s="47"/>
      <c r="D22" s="44">
        <f>SUM(C23:C24)</f>
        <v>13941.380000000001</v>
      </c>
    </row>
    <row r="23" spans="1:4" x14ac:dyDescent="0.2">
      <c r="A23" s="45" t="s">
        <v>277</v>
      </c>
      <c r="B23" s="60" t="s">
        <v>719</v>
      </c>
      <c r="C23" s="47">
        <v>5845.75</v>
      </c>
      <c r="D23" s="47"/>
    </row>
    <row r="24" spans="1:4" x14ac:dyDescent="0.2">
      <c r="A24" s="45" t="s">
        <v>479</v>
      </c>
      <c r="B24" s="46" t="s">
        <v>480</v>
      </c>
      <c r="C24" s="47">
        <v>8095.63</v>
      </c>
      <c r="D24" s="47"/>
    </row>
    <row r="25" spans="1:4" x14ac:dyDescent="0.2">
      <c r="A25" s="42" t="s">
        <v>187</v>
      </c>
      <c r="B25" s="43" t="s">
        <v>186</v>
      </c>
      <c r="C25" s="47"/>
      <c r="D25" s="44">
        <f>SUM(C26:C29)</f>
        <v>47072</v>
      </c>
    </row>
    <row r="26" spans="1:4" x14ac:dyDescent="0.2">
      <c r="A26" s="42" t="s">
        <v>766</v>
      </c>
      <c r="B26" s="43" t="s">
        <v>767</v>
      </c>
      <c r="C26" s="47"/>
      <c r="D26" s="44"/>
    </row>
    <row r="27" spans="1:4" x14ac:dyDescent="0.2">
      <c r="A27" s="45" t="s">
        <v>258</v>
      </c>
      <c r="B27" s="46" t="s">
        <v>259</v>
      </c>
      <c r="C27" s="48">
        <v>20000</v>
      </c>
      <c r="D27" s="49"/>
    </row>
    <row r="28" spans="1:4" x14ac:dyDescent="0.2">
      <c r="A28" s="45" t="s">
        <v>769</v>
      </c>
      <c r="B28" s="46" t="s">
        <v>676</v>
      </c>
      <c r="C28" s="48">
        <f>2256*12</f>
        <v>27072</v>
      </c>
      <c r="D28" s="49"/>
    </row>
    <row r="29" spans="1:4" x14ac:dyDescent="0.2">
      <c r="A29" s="45" t="s">
        <v>542</v>
      </c>
      <c r="B29" s="46" t="s">
        <v>543</v>
      </c>
      <c r="C29" s="48"/>
      <c r="D29" s="49"/>
    </row>
    <row r="30" spans="1:4" x14ac:dyDescent="0.2">
      <c r="A30" s="42" t="s">
        <v>12</v>
      </c>
      <c r="B30" s="43" t="s">
        <v>13</v>
      </c>
      <c r="C30" s="47"/>
      <c r="D30" s="44">
        <f>SUM(C31:C32)</f>
        <v>253954.58</v>
      </c>
    </row>
    <row r="31" spans="1:4" x14ac:dyDescent="0.2">
      <c r="A31" s="45" t="s">
        <v>260</v>
      </c>
      <c r="B31" s="46" t="s">
        <v>261</v>
      </c>
      <c r="C31" s="48">
        <f>105715.03+43076.12</f>
        <v>148791.15</v>
      </c>
      <c r="D31" s="49"/>
    </row>
    <row r="32" spans="1:4" x14ac:dyDescent="0.2">
      <c r="A32" s="45" t="s">
        <v>510</v>
      </c>
      <c r="B32" s="46" t="s">
        <v>700</v>
      </c>
      <c r="C32" s="48">
        <f>75618.76+29544.67</f>
        <v>105163.43</v>
      </c>
      <c r="D32" s="49"/>
    </row>
    <row r="33" spans="1:5" x14ac:dyDescent="0.2">
      <c r="A33" s="42" t="s">
        <v>302</v>
      </c>
      <c r="B33" s="43" t="s">
        <v>303</v>
      </c>
      <c r="C33" s="48"/>
      <c r="D33" s="216">
        <f>C34</f>
        <v>0</v>
      </c>
    </row>
    <row r="34" spans="1:5" x14ac:dyDescent="0.2">
      <c r="A34" s="45" t="s">
        <v>768</v>
      </c>
      <c r="B34" s="46" t="s">
        <v>776</v>
      </c>
      <c r="C34" s="48"/>
      <c r="D34" s="49"/>
    </row>
    <row r="35" spans="1:5" ht="12" customHeight="1" x14ac:dyDescent="0.2">
      <c r="A35" s="42">
        <v>5.3</v>
      </c>
      <c r="B35" s="43" t="s">
        <v>14</v>
      </c>
      <c r="C35" s="44"/>
      <c r="D35" s="44">
        <f>D36+D41+D47+D49+D52+D57+D59+D61+D68</f>
        <v>1741785</v>
      </c>
    </row>
    <row r="36" spans="1:5" x14ac:dyDescent="0.2">
      <c r="A36" s="42" t="s">
        <v>15</v>
      </c>
      <c r="B36" s="43" t="s">
        <v>16</v>
      </c>
      <c r="C36" s="44"/>
      <c r="D36" s="44">
        <f>SUM(C37:C40)</f>
        <v>266000</v>
      </c>
    </row>
    <row r="37" spans="1:5" x14ac:dyDescent="0.2">
      <c r="A37" s="45" t="s">
        <v>402</v>
      </c>
      <c r="B37" s="46" t="s">
        <v>403</v>
      </c>
      <c r="C37" s="47">
        <v>150000</v>
      </c>
      <c r="D37" s="44"/>
    </row>
    <row r="38" spans="1:5" x14ac:dyDescent="0.2">
      <c r="A38" s="45" t="s">
        <v>17</v>
      </c>
      <c r="B38" s="46" t="s">
        <v>18</v>
      </c>
      <c r="C38" s="47">
        <v>75000</v>
      </c>
      <c r="D38" s="47"/>
    </row>
    <row r="39" spans="1:5" x14ac:dyDescent="0.2">
      <c r="A39" s="45" t="s">
        <v>19</v>
      </c>
      <c r="B39" s="46" t="s">
        <v>463</v>
      </c>
      <c r="C39" s="47">
        <v>38000</v>
      </c>
      <c r="D39" s="47"/>
    </row>
    <row r="40" spans="1:5" x14ac:dyDescent="0.2">
      <c r="A40" s="45" t="s">
        <v>21</v>
      </c>
      <c r="B40" s="46" t="s">
        <v>22</v>
      </c>
      <c r="C40" s="47">
        <v>3000</v>
      </c>
      <c r="D40" s="47"/>
    </row>
    <row r="41" spans="1:5" x14ac:dyDescent="0.2">
      <c r="A41" s="42" t="s">
        <v>23</v>
      </c>
      <c r="B41" s="43" t="s">
        <v>4</v>
      </c>
      <c r="C41" s="44" t="s">
        <v>147</v>
      </c>
      <c r="D41" s="44">
        <f>SUM(C42:C46)</f>
        <v>726000</v>
      </c>
    </row>
    <row r="42" spans="1:5" x14ac:dyDescent="0.2">
      <c r="A42" s="45" t="s">
        <v>24</v>
      </c>
      <c r="B42" s="46" t="s">
        <v>25</v>
      </c>
      <c r="C42" s="47">
        <v>1500</v>
      </c>
      <c r="D42" s="47"/>
    </row>
    <row r="43" spans="1:5" x14ac:dyDescent="0.2">
      <c r="A43" s="45" t="s">
        <v>26</v>
      </c>
      <c r="B43" s="46" t="s">
        <v>753</v>
      </c>
      <c r="C43" s="47">
        <v>22000</v>
      </c>
      <c r="D43" s="47"/>
    </row>
    <row r="44" spans="1:5" x14ac:dyDescent="0.2">
      <c r="A44" s="45" t="s">
        <v>29</v>
      </c>
      <c r="B44" s="46" t="s">
        <v>489</v>
      </c>
      <c r="C44" s="47">
        <v>80000</v>
      </c>
      <c r="D44" s="47"/>
    </row>
    <row r="45" spans="1:5" x14ac:dyDescent="0.2">
      <c r="A45" s="45" t="s">
        <v>361</v>
      </c>
      <c r="B45" s="46" t="s">
        <v>362</v>
      </c>
      <c r="C45" s="47">
        <f>12500+430000</f>
        <v>442500</v>
      </c>
      <c r="D45" s="47"/>
      <c r="E45" s="205"/>
    </row>
    <row r="46" spans="1:5" x14ac:dyDescent="0.2">
      <c r="A46" s="45" t="s">
        <v>363</v>
      </c>
      <c r="B46" s="46" t="s">
        <v>364</v>
      </c>
      <c r="C46" s="47">
        <v>180000</v>
      </c>
      <c r="D46" s="47"/>
      <c r="E46" s="205"/>
    </row>
    <row r="47" spans="1:5" x14ac:dyDescent="0.2">
      <c r="A47" s="42" t="s">
        <v>31</v>
      </c>
      <c r="B47" s="43" t="s">
        <v>412</v>
      </c>
      <c r="C47" s="47"/>
      <c r="D47" s="44">
        <f>SUM(C48)</f>
        <v>40000</v>
      </c>
    </row>
    <row r="48" spans="1:5" x14ac:dyDescent="0.2">
      <c r="A48" s="45" t="s">
        <v>484</v>
      </c>
      <c r="B48" s="46" t="s">
        <v>717</v>
      </c>
      <c r="C48" s="47">
        <v>40000</v>
      </c>
      <c r="D48" s="47"/>
    </row>
    <row r="49" spans="1:5" s="28" customFormat="1" x14ac:dyDescent="0.2">
      <c r="A49" s="50" t="s">
        <v>33</v>
      </c>
      <c r="B49" s="43" t="s">
        <v>34</v>
      </c>
      <c r="C49" s="51"/>
      <c r="D49" s="51">
        <f>SUM(C50:C51)</f>
        <v>20000</v>
      </c>
    </row>
    <row r="50" spans="1:5" x14ac:dyDescent="0.2">
      <c r="A50" s="45" t="s">
        <v>35</v>
      </c>
      <c r="B50" s="46" t="s">
        <v>36</v>
      </c>
      <c r="C50" s="47">
        <v>10000</v>
      </c>
      <c r="D50" s="47"/>
    </row>
    <row r="51" spans="1:5" x14ac:dyDescent="0.2">
      <c r="A51" s="45" t="s">
        <v>37</v>
      </c>
      <c r="B51" s="46" t="s">
        <v>38</v>
      </c>
      <c r="C51" s="47">
        <v>10000</v>
      </c>
      <c r="D51" s="47"/>
    </row>
    <row r="52" spans="1:5" x14ac:dyDescent="0.2">
      <c r="A52" s="42" t="s">
        <v>39</v>
      </c>
      <c r="B52" s="43" t="s">
        <v>40</v>
      </c>
      <c r="C52" s="44"/>
      <c r="D52" s="44">
        <f>SUM(C53:C56)</f>
        <v>180000</v>
      </c>
    </row>
    <row r="53" spans="1:5" x14ac:dyDescent="0.2">
      <c r="A53" s="45" t="s">
        <v>200</v>
      </c>
      <c r="B53" s="46" t="s">
        <v>201</v>
      </c>
      <c r="C53" s="47">
        <v>10000</v>
      </c>
      <c r="D53" s="44"/>
    </row>
    <row r="54" spans="1:5" x14ac:dyDescent="0.2">
      <c r="A54" s="45" t="s">
        <v>41</v>
      </c>
      <c r="B54" s="46" t="s">
        <v>146</v>
      </c>
      <c r="C54" s="47">
        <v>4000</v>
      </c>
      <c r="D54" s="47"/>
    </row>
    <row r="55" spans="1:5" ht="13.5" customHeight="1" x14ac:dyDescent="0.2">
      <c r="A55" s="45" t="s">
        <v>43</v>
      </c>
      <c r="B55" s="46" t="s">
        <v>718</v>
      </c>
      <c r="C55" s="47">
        <f>21000</f>
        <v>21000</v>
      </c>
      <c r="D55" s="47"/>
    </row>
    <row r="56" spans="1:5" x14ac:dyDescent="0.2">
      <c r="A56" s="45" t="s">
        <v>45</v>
      </c>
      <c r="B56" s="46" t="s">
        <v>608</v>
      </c>
      <c r="C56" s="47">
        <f>10000+135000</f>
        <v>145000</v>
      </c>
      <c r="D56" s="47"/>
    </row>
    <row r="57" spans="1:5" ht="24" x14ac:dyDescent="0.2">
      <c r="A57" s="42" t="s">
        <v>46</v>
      </c>
      <c r="B57" s="156" t="s">
        <v>467</v>
      </c>
      <c r="C57" s="47"/>
      <c r="D57" s="44">
        <f>+C58</f>
        <v>15000</v>
      </c>
    </row>
    <row r="58" spans="1:5" x14ac:dyDescent="0.2">
      <c r="A58" s="45" t="s">
        <v>49</v>
      </c>
      <c r="B58" s="46" t="s">
        <v>466</v>
      </c>
      <c r="C58" s="47">
        <v>15000</v>
      </c>
      <c r="D58" s="47"/>
    </row>
    <row r="59" spans="1:5" x14ac:dyDescent="0.2">
      <c r="A59" s="42" t="s">
        <v>51</v>
      </c>
      <c r="B59" s="43" t="s">
        <v>52</v>
      </c>
      <c r="C59" s="44"/>
      <c r="D59" s="44">
        <f>+C60</f>
        <v>9000</v>
      </c>
    </row>
    <row r="60" spans="1:5" x14ac:dyDescent="0.2">
      <c r="A60" s="45" t="s">
        <v>53</v>
      </c>
      <c r="B60" s="46" t="s">
        <v>574</v>
      </c>
      <c r="C60" s="47">
        <f>4000+1000+4000</f>
        <v>9000</v>
      </c>
      <c r="D60" s="47"/>
      <c r="E60" s="210"/>
    </row>
    <row r="61" spans="1:5" x14ac:dyDescent="0.2">
      <c r="A61" s="42" t="s">
        <v>55</v>
      </c>
      <c r="B61" s="43" t="s">
        <v>56</v>
      </c>
      <c r="C61" s="44"/>
      <c r="D61" s="44">
        <f>SUM(C62:C67)</f>
        <v>483785</v>
      </c>
    </row>
    <row r="62" spans="1:5" x14ac:dyDescent="0.2">
      <c r="A62" s="45" t="s">
        <v>57</v>
      </c>
      <c r="B62" s="46" t="s">
        <v>58</v>
      </c>
      <c r="C62" s="47">
        <v>3000</v>
      </c>
      <c r="D62" s="47"/>
    </row>
    <row r="63" spans="1:5" x14ac:dyDescent="0.2">
      <c r="A63" s="45" t="s">
        <v>59</v>
      </c>
      <c r="B63" s="46" t="s">
        <v>168</v>
      </c>
      <c r="C63" s="47">
        <f>11856+6929</f>
        <v>18785</v>
      </c>
      <c r="D63" s="218"/>
    </row>
    <row r="64" spans="1:5" x14ac:dyDescent="0.2">
      <c r="A64" s="45" t="s">
        <v>61</v>
      </c>
      <c r="B64" s="46" t="s">
        <v>62</v>
      </c>
      <c r="C64" s="47">
        <v>285000</v>
      </c>
      <c r="D64" s="47"/>
      <c r="E64" s="205"/>
    </row>
    <row r="65" spans="1:5" s="28" customFormat="1" x14ac:dyDescent="0.2">
      <c r="A65" s="52" t="s">
        <v>67</v>
      </c>
      <c r="B65" s="46" t="s">
        <v>459</v>
      </c>
      <c r="C65" s="53">
        <v>2000</v>
      </c>
      <c r="D65" s="53"/>
      <c r="E65" s="167"/>
    </row>
    <row r="66" spans="1:5" x14ac:dyDescent="0.2">
      <c r="A66" s="45" t="s">
        <v>225</v>
      </c>
      <c r="B66" s="46" t="s">
        <v>316</v>
      </c>
      <c r="C66" s="47">
        <v>10000</v>
      </c>
      <c r="D66" s="47"/>
    </row>
    <row r="67" spans="1:5" ht="14.25" customHeight="1" x14ac:dyDescent="0.2">
      <c r="A67" s="52" t="s">
        <v>409</v>
      </c>
      <c r="B67" s="46" t="s">
        <v>410</v>
      </c>
      <c r="C67" s="53">
        <v>165000</v>
      </c>
      <c r="D67" s="47"/>
    </row>
    <row r="68" spans="1:5" ht="14.25" customHeight="1" x14ac:dyDescent="0.2">
      <c r="A68" s="50" t="s">
        <v>575</v>
      </c>
      <c r="B68" s="43" t="s">
        <v>576</v>
      </c>
      <c r="C68" s="53"/>
      <c r="D68" s="44">
        <f>SUM(C69:C70)</f>
        <v>2000</v>
      </c>
    </row>
    <row r="69" spans="1:5" ht="14.25" customHeight="1" x14ac:dyDescent="0.2">
      <c r="A69" s="52" t="s">
        <v>577</v>
      </c>
      <c r="B69" s="46" t="s">
        <v>315</v>
      </c>
      <c r="C69" s="53">
        <v>2000</v>
      </c>
      <c r="D69" s="47"/>
    </row>
    <row r="70" spans="1:5" ht="14.25" customHeight="1" x14ac:dyDescent="0.2">
      <c r="A70" s="52" t="s">
        <v>712</v>
      </c>
      <c r="B70" s="46" t="s">
        <v>80</v>
      </c>
      <c r="C70" s="53">
        <v>0</v>
      </c>
      <c r="D70" s="47"/>
    </row>
    <row r="71" spans="1:5" x14ac:dyDescent="0.2">
      <c r="A71" s="42">
        <v>5.7</v>
      </c>
      <c r="B71" s="43" t="s">
        <v>69</v>
      </c>
      <c r="C71" s="44"/>
      <c r="D71" s="44">
        <f>+D72</f>
        <v>20000</v>
      </c>
    </row>
    <row r="72" spans="1:5" x14ac:dyDescent="0.2">
      <c r="A72" s="42" t="s">
        <v>70</v>
      </c>
      <c r="B72" s="43" t="s">
        <v>71</v>
      </c>
      <c r="C72" s="44"/>
      <c r="D72" s="44">
        <f>+C73</f>
        <v>20000</v>
      </c>
    </row>
    <row r="73" spans="1:5" x14ac:dyDescent="0.2">
      <c r="A73" s="45" t="s">
        <v>72</v>
      </c>
      <c r="B73" s="46" t="s">
        <v>73</v>
      </c>
      <c r="C73" s="47">
        <v>20000</v>
      </c>
      <c r="D73" s="47"/>
    </row>
    <row r="74" spans="1:5" x14ac:dyDescent="0.2">
      <c r="A74" s="54">
        <v>7</v>
      </c>
      <c r="B74" s="59" t="s">
        <v>86</v>
      </c>
      <c r="C74" s="47"/>
      <c r="D74" s="44">
        <f>+D75</f>
        <v>16000</v>
      </c>
    </row>
    <row r="75" spans="1:5" x14ac:dyDescent="0.2">
      <c r="A75" s="54">
        <v>7.3</v>
      </c>
      <c r="B75" s="59" t="s">
        <v>14</v>
      </c>
      <c r="C75" s="47"/>
      <c r="D75" s="44">
        <f>+D76</f>
        <v>16000</v>
      </c>
    </row>
    <row r="76" spans="1:5" x14ac:dyDescent="0.2">
      <c r="A76" s="54" t="s">
        <v>141</v>
      </c>
      <c r="B76" s="59" t="s">
        <v>142</v>
      </c>
      <c r="C76" s="40"/>
      <c r="D76" s="40">
        <f>SUM(C78:C80)</f>
        <v>16000</v>
      </c>
    </row>
    <row r="77" spans="1:5" x14ac:dyDescent="0.2">
      <c r="A77" s="54" t="s">
        <v>143</v>
      </c>
      <c r="B77" s="59" t="s">
        <v>48</v>
      </c>
      <c r="C77" s="41"/>
      <c r="D77" s="41"/>
    </row>
    <row r="78" spans="1:5" x14ac:dyDescent="0.2">
      <c r="A78" s="52" t="s">
        <v>144</v>
      </c>
      <c r="B78" s="62" t="s">
        <v>356</v>
      </c>
      <c r="C78" s="53">
        <v>3000</v>
      </c>
      <c r="D78" s="53"/>
    </row>
    <row r="79" spans="1:5" x14ac:dyDescent="0.2">
      <c r="A79" s="52" t="s">
        <v>182</v>
      </c>
      <c r="B79" s="62" t="s">
        <v>503</v>
      </c>
      <c r="C79" s="53">
        <v>5000</v>
      </c>
      <c r="D79" s="53"/>
      <c r="E79" s="212"/>
    </row>
    <row r="80" spans="1:5" ht="22.5" x14ac:dyDescent="0.2">
      <c r="A80" s="52" t="s">
        <v>190</v>
      </c>
      <c r="B80" s="62" t="s">
        <v>504</v>
      </c>
      <c r="C80" s="53">
        <v>8000</v>
      </c>
      <c r="D80" s="53"/>
    </row>
    <row r="81" spans="1:5" x14ac:dyDescent="0.2">
      <c r="A81" s="42">
        <v>8</v>
      </c>
      <c r="B81" s="43" t="s">
        <v>74</v>
      </c>
      <c r="C81" s="44"/>
      <c r="D81" s="44">
        <f>+D82</f>
        <v>209500</v>
      </c>
    </row>
    <row r="82" spans="1:5" x14ac:dyDescent="0.2">
      <c r="A82" s="42">
        <v>8.4</v>
      </c>
      <c r="B82" s="43" t="s">
        <v>75</v>
      </c>
      <c r="C82" s="44"/>
      <c r="D82" s="44">
        <f>+D83</f>
        <v>209500</v>
      </c>
    </row>
    <row r="83" spans="1:5" x14ac:dyDescent="0.2">
      <c r="A83" s="42" t="s">
        <v>76</v>
      </c>
      <c r="B83" s="43" t="s">
        <v>77</v>
      </c>
      <c r="C83" s="44"/>
      <c r="D83" s="44">
        <f>SUM(C84:C89)</f>
        <v>209500</v>
      </c>
    </row>
    <row r="84" spans="1:5" x14ac:dyDescent="0.2">
      <c r="A84" s="52" t="s">
        <v>301</v>
      </c>
      <c r="B84" s="46" t="s">
        <v>146</v>
      </c>
      <c r="C84" s="47">
        <v>7000</v>
      </c>
      <c r="D84" s="44"/>
    </row>
    <row r="85" spans="1:5" x14ac:dyDescent="0.2">
      <c r="A85" s="52" t="s">
        <v>276</v>
      </c>
      <c r="B85" s="46" t="s">
        <v>496</v>
      </c>
      <c r="C85" s="47">
        <f>7500</f>
        <v>7500</v>
      </c>
      <c r="D85" s="47"/>
    </row>
    <row r="86" spans="1:5" x14ac:dyDescent="0.2">
      <c r="A86" s="52" t="s">
        <v>283</v>
      </c>
      <c r="B86" s="46" t="s">
        <v>890</v>
      </c>
      <c r="C86" s="47"/>
      <c r="D86" s="47"/>
    </row>
    <row r="87" spans="1:5" x14ac:dyDescent="0.2">
      <c r="A87" s="52" t="s">
        <v>78</v>
      </c>
      <c r="B87" s="46" t="s">
        <v>315</v>
      </c>
      <c r="C87" s="47">
        <f>6000+8000+2000+10000+8000+6000</f>
        <v>40000</v>
      </c>
      <c r="D87" s="47"/>
      <c r="E87" s="212"/>
    </row>
    <row r="88" spans="1:5" x14ac:dyDescent="0.2">
      <c r="A88" s="57" t="s">
        <v>79</v>
      </c>
      <c r="B88" s="58" t="s">
        <v>80</v>
      </c>
      <c r="C88" s="47">
        <v>0</v>
      </c>
      <c r="D88" s="47"/>
    </row>
    <row r="89" spans="1:5" x14ac:dyDescent="0.2">
      <c r="A89" s="57" t="s">
        <v>485</v>
      </c>
      <c r="B89" s="58" t="s">
        <v>411</v>
      </c>
      <c r="C89" s="47">
        <v>155000</v>
      </c>
      <c r="D89" s="47"/>
      <c r="E89" s="212"/>
    </row>
    <row r="90" spans="1:5" x14ac:dyDescent="0.2">
      <c r="A90" s="138"/>
      <c r="B90" s="128"/>
      <c r="C90" s="125"/>
      <c r="D90" s="120"/>
    </row>
    <row r="91" spans="1:5" x14ac:dyDescent="0.2">
      <c r="A91" s="138"/>
      <c r="B91" s="128"/>
      <c r="C91" s="125"/>
      <c r="D91" s="120"/>
    </row>
    <row r="92" spans="1:5" x14ac:dyDescent="0.2">
      <c r="A92" s="138"/>
      <c r="B92" s="128"/>
      <c r="C92" s="125">
        <f>SUM(C9:C89)</f>
        <v>4026645.6449999996</v>
      </c>
      <c r="D92" s="120"/>
    </row>
    <row r="93" spans="1:5" x14ac:dyDescent="0.2">
      <c r="A93" s="138"/>
      <c r="B93" s="128"/>
      <c r="C93" s="125"/>
      <c r="D93" s="120"/>
    </row>
    <row r="94" spans="1:5" x14ac:dyDescent="0.2">
      <c r="A94" s="138"/>
      <c r="B94" s="128"/>
      <c r="C94" s="125"/>
      <c r="D94" s="125"/>
    </row>
    <row r="95" spans="1:5" x14ac:dyDescent="0.2">
      <c r="A95" s="138"/>
      <c r="B95" s="128"/>
      <c r="C95" s="125"/>
      <c r="D95" s="125"/>
    </row>
    <row r="96" spans="1:5" x14ac:dyDescent="0.2">
      <c r="A96" s="138"/>
      <c r="B96" s="128"/>
      <c r="C96" s="125"/>
      <c r="D96" s="125"/>
    </row>
    <row r="97" spans="1:4" x14ac:dyDescent="0.2">
      <c r="A97" s="138"/>
      <c r="B97" s="238"/>
      <c r="C97" s="205"/>
      <c r="D97" s="125"/>
    </row>
    <row r="98" spans="1:4" x14ac:dyDescent="0.2">
      <c r="A98" s="138"/>
      <c r="B98" s="23"/>
      <c r="C98" s="205"/>
      <c r="D98" s="125"/>
    </row>
    <row r="99" spans="1:4" x14ac:dyDescent="0.2">
      <c r="A99" s="138"/>
      <c r="B99" s="23"/>
      <c r="C99" s="125"/>
      <c r="D99" s="125"/>
    </row>
    <row r="100" spans="1:4" x14ac:dyDescent="0.2">
      <c r="A100" s="138"/>
      <c r="B100" s="128"/>
      <c r="C100" s="125"/>
      <c r="D100" s="125"/>
    </row>
    <row r="101" spans="1:4" x14ac:dyDescent="0.2">
      <c r="A101" s="138"/>
      <c r="B101" s="128"/>
      <c r="C101" s="125"/>
      <c r="D101" s="125"/>
    </row>
    <row r="102" spans="1:4" x14ac:dyDescent="0.2">
      <c r="A102" s="138"/>
      <c r="B102" s="128"/>
      <c r="C102" s="125"/>
      <c r="D102" s="120"/>
    </row>
    <row r="103" spans="1:4" x14ac:dyDescent="0.2">
      <c r="A103" s="138"/>
      <c r="B103" s="128"/>
      <c r="C103" s="125"/>
      <c r="D103" s="120"/>
    </row>
    <row r="104" spans="1:4" x14ac:dyDescent="0.2">
      <c r="A104" s="138"/>
      <c r="B104" s="128"/>
      <c r="C104" s="125"/>
      <c r="D104" s="120"/>
    </row>
    <row r="105" spans="1:4" x14ac:dyDescent="0.2">
      <c r="A105" s="111"/>
      <c r="B105" s="112"/>
      <c r="C105" s="71"/>
      <c r="D105" s="71"/>
    </row>
    <row r="106" spans="1:4" x14ac:dyDescent="0.2">
      <c r="A106" s="111"/>
      <c r="B106" s="112"/>
      <c r="C106" s="71"/>
      <c r="D106" s="71"/>
    </row>
    <row r="107" spans="1:4" x14ac:dyDescent="0.2">
      <c r="A107" s="111"/>
      <c r="B107" s="112"/>
      <c r="C107" s="71"/>
      <c r="D107" s="71"/>
    </row>
    <row r="108" spans="1:4" x14ac:dyDescent="0.2">
      <c r="A108" s="111"/>
      <c r="B108" s="112"/>
      <c r="C108" s="71"/>
      <c r="D108" s="71"/>
    </row>
    <row r="109" spans="1:4" x14ac:dyDescent="0.2">
      <c r="A109" s="111"/>
      <c r="B109" s="112"/>
      <c r="C109" s="120"/>
      <c r="D109" s="71"/>
    </row>
    <row r="110" spans="1:4" x14ac:dyDescent="0.2">
      <c r="A110" s="111"/>
      <c r="B110" s="112"/>
      <c r="C110" s="71"/>
      <c r="D110" s="71"/>
    </row>
    <row r="111" spans="1:4" x14ac:dyDescent="0.2">
      <c r="A111" s="111"/>
      <c r="B111" s="112"/>
      <c r="C111" s="71"/>
      <c r="D111" s="71"/>
    </row>
    <row r="112" spans="1:4" x14ac:dyDescent="0.2">
      <c r="A112" s="111"/>
      <c r="B112" s="112"/>
      <c r="C112" s="71"/>
      <c r="D112" s="71"/>
    </row>
    <row r="113" spans="1:4" x14ac:dyDescent="0.2">
      <c r="A113" s="111"/>
      <c r="B113" s="112"/>
      <c r="C113" s="71"/>
      <c r="D113" s="71"/>
    </row>
    <row r="114" spans="1:4" x14ac:dyDescent="0.2">
      <c r="A114" s="111"/>
      <c r="B114" s="112"/>
      <c r="C114" s="71"/>
      <c r="D114" s="71"/>
    </row>
    <row r="115" spans="1:4" x14ac:dyDescent="0.2">
      <c r="A115" s="111"/>
      <c r="B115" s="112"/>
      <c r="C115" s="71"/>
      <c r="D115" s="71"/>
    </row>
    <row r="116" spans="1:4" x14ac:dyDescent="0.2">
      <c r="A116" s="111"/>
      <c r="B116" s="112"/>
      <c r="C116" s="71"/>
      <c r="D116" s="71"/>
    </row>
    <row r="117" spans="1:4" x14ac:dyDescent="0.2">
      <c r="A117" s="111"/>
      <c r="B117" s="112"/>
      <c r="C117" s="71"/>
      <c r="D117" s="71"/>
    </row>
    <row r="118" spans="1:4" x14ac:dyDescent="0.2">
      <c r="A118" s="111"/>
      <c r="B118" s="112"/>
      <c r="C118" s="71"/>
      <c r="D118" s="71"/>
    </row>
    <row r="119" spans="1:4" x14ac:dyDescent="0.2">
      <c r="A119" s="111"/>
      <c r="B119" s="112"/>
      <c r="C119" s="71"/>
      <c r="D119" s="71"/>
    </row>
    <row r="120" spans="1:4" x14ac:dyDescent="0.2">
      <c r="A120" s="111"/>
      <c r="B120" s="112"/>
      <c r="C120" s="71"/>
      <c r="D120" s="71"/>
    </row>
    <row r="121" spans="1:4" x14ac:dyDescent="0.2">
      <c r="A121" s="111"/>
      <c r="B121" s="112"/>
      <c r="C121" s="71"/>
      <c r="D121" s="71"/>
    </row>
    <row r="122" spans="1:4" x14ac:dyDescent="0.2">
      <c r="A122" s="111"/>
      <c r="B122" s="112"/>
      <c r="C122" s="71"/>
      <c r="D122" s="71"/>
    </row>
    <row r="123" spans="1:4" x14ac:dyDescent="0.2">
      <c r="A123" s="111"/>
      <c r="B123" s="112"/>
      <c r="C123" s="71"/>
      <c r="D123" s="71"/>
    </row>
    <row r="124" spans="1:4" x14ac:dyDescent="0.2">
      <c r="A124" s="111"/>
      <c r="B124" s="112"/>
      <c r="C124" s="71"/>
      <c r="D124" s="71"/>
    </row>
    <row r="125" spans="1:4" x14ac:dyDescent="0.2">
      <c r="A125" s="111"/>
      <c r="B125" s="112"/>
      <c r="C125" s="71"/>
      <c r="D125" s="71"/>
    </row>
    <row r="126" spans="1:4" x14ac:dyDescent="0.2">
      <c r="A126" s="111"/>
      <c r="B126" s="112"/>
      <c r="C126" s="71"/>
      <c r="D126" s="71"/>
    </row>
    <row r="127" spans="1:4" x14ac:dyDescent="0.2">
      <c r="A127" s="111"/>
      <c r="B127" s="112"/>
      <c r="C127" s="71"/>
      <c r="D127" s="71"/>
    </row>
    <row r="128" spans="1:4" x14ac:dyDescent="0.2">
      <c r="A128" s="111"/>
      <c r="B128" s="112"/>
      <c r="C128" s="71"/>
      <c r="D128" s="71"/>
    </row>
    <row r="129" spans="1:4" x14ac:dyDescent="0.2">
      <c r="A129" s="111"/>
      <c r="B129" s="112"/>
      <c r="C129" s="71"/>
      <c r="D129" s="71"/>
    </row>
    <row r="130" spans="1:4" x14ac:dyDescent="0.2">
      <c r="A130" s="111"/>
      <c r="B130" s="121"/>
      <c r="C130" s="120"/>
      <c r="D130" s="71"/>
    </row>
    <row r="131" spans="1:4" x14ac:dyDescent="0.2">
      <c r="A131" s="111"/>
      <c r="B131" s="121"/>
      <c r="C131" s="120"/>
      <c r="D131" s="71"/>
    </row>
    <row r="132" spans="1:4" x14ac:dyDescent="0.2">
      <c r="A132" s="111"/>
      <c r="B132" s="121"/>
      <c r="C132" s="120"/>
      <c r="D132" s="71"/>
    </row>
    <row r="133" spans="1:4" x14ac:dyDescent="0.2">
      <c r="A133" s="111"/>
      <c r="B133" s="121"/>
      <c r="C133" s="120"/>
      <c r="D133" s="71"/>
    </row>
    <row r="134" spans="1:4" x14ac:dyDescent="0.2">
      <c r="A134" s="111"/>
      <c r="B134" s="121"/>
      <c r="C134" s="120"/>
      <c r="D134" s="71"/>
    </row>
    <row r="135" spans="1:4" x14ac:dyDescent="0.2">
      <c r="A135" s="111"/>
      <c r="B135" s="121"/>
      <c r="C135" s="120"/>
      <c r="D135" s="71"/>
    </row>
    <row r="136" spans="1:4" x14ac:dyDescent="0.2">
      <c r="A136" s="111"/>
      <c r="B136" s="121"/>
      <c r="C136" s="120"/>
      <c r="D136" s="71"/>
    </row>
    <row r="137" spans="1:4" x14ac:dyDescent="0.2">
      <c r="A137" s="111"/>
      <c r="B137" s="121"/>
      <c r="C137" s="120"/>
      <c r="D137" s="71"/>
    </row>
    <row r="138" spans="1:4" x14ac:dyDescent="0.2">
      <c r="A138" s="111"/>
      <c r="B138" s="121"/>
      <c r="C138" s="120"/>
      <c r="D138" s="71"/>
    </row>
    <row r="139" spans="1:4" x14ac:dyDescent="0.2">
      <c r="A139" s="111"/>
      <c r="B139" s="112"/>
      <c r="C139" s="120"/>
      <c r="D139" s="71"/>
    </row>
    <row r="140" spans="1:4" x14ac:dyDescent="0.2">
      <c r="A140" s="111"/>
      <c r="B140" s="112"/>
      <c r="C140" s="120"/>
      <c r="D140" s="71"/>
    </row>
    <row r="141" spans="1:4" x14ac:dyDescent="0.2">
      <c r="A141" s="111"/>
      <c r="B141" s="112"/>
      <c r="C141" s="82"/>
      <c r="D141" s="71"/>
    </row>
    <row r="142" spans="1:4" x14ac:dyDescent="0.2">
      <c r="A142" s="111"/>
      <c r="B142" s="112"/>
      <c r="C142" s="71"/>
      <c r="D142" s="71"/>
    </row>
    <row r="143" spans="1:4" x14ac:dyDescent="0.2">
      <c r="A143" s="111"/>
      <c r="B143" s="121"/>
      <c r="C143" s="120"/>
      <c r="D143" s="71"/>
    </row>
    <row r="144" spans="1:4" x14ac:dyDescent="0.2">
      <c r="A144" s="111"/>
      <c r="B144" s="112"/>
      <c r="C144" s="120"/>
      <c r="D144" s="71"/>
    </row>
    <row r="145" spans="1:4" x14ac:dyDescent="0.2">
      <c r="A145" s="111"/>
      <c r="B145" s="121"/>
      <c r="C145" s="120"/>
      <c r="D145" s="71"/>
    </row>
    <row r="146" spans="1:4" x14ac:dyDescent="0.2">
      <c r="A146" s="111"/>
      <c r="B146" s="112"/>
      <c r="C146" s="71"/>
      <c r="D146" s="71"/>
    </row>
    <row r="147" spans="1:4" x14ac:dyDescent="0.2">
      <c r="A147" s="111"/>
      <c r="B147" s="112"/>
      <c r="C147" s="71"/>
      <c r="D147" s="71"/>
    </row>
    <row r="148" spans="1:4" x14ac:dyDescent="0.2">
      <c r="A148" s="111"/>
      <c r="B148" s="112"/>
      <c r="C148" s="71"/>
      <c r="D148" s="71"/>
    </row>
    <row r="149" spans="1:4" x14ac:dyDescent="0.2">
      <c r="A149" s="111"/>
      <c r="B149" s="112"/>
      <c r="C149" s="71"/>
      <c r="D149" s="71"/>
    </row>
    <row r="150" spans="1:4" x14ac:dyDescent="0.2">
      <c r="A150" s="111"/>
      <c r="B150" s="112"/>
      <c r="C150" s="71"/>
      <c r="D150" s="71"/>
    </row>
    <row r="151" spans="1:4" x14ac:dyDescent="0.2">
      <c r="A151" s="111"/>
      <c r="B151" s="112"/>
      <c r="C151" s="71"/>
      <c r="D151" s="71"/>
    </row>
    <row r="152" spans="1:4" x14ac:dyDescent="0.2">
      <c r="A152" s="111"/>
      <c r="B152" s="112"/>
      <c r="C152" s="71"/>
      <c r="D152" s="71"/>
    </row>
    <row r="153" spans="1:4" x14ac:dyDescent="0.2">
      <c r="A153" s="111"/>
      <c r="B153" s="112"/>
      <c r="C153" s="71"/>
      <c r="D153" s="71"/>
    </row>
    <row r="154" spans="1:4" x14ac:dyDescent="0.2">
      <c r="A154" s="111"/>
      <c r="B154" s="112"/>
      <c r="C154" s="71"/>
      <c r="D154" s="71"/>
    </row>
    <row r="155" spans="1:4" x14ac:dyDescent="0.2">
      <c r="A155" s="111"/>
      <c r="B155" s="112"/>
      <c r="C155" s="71"/>
      <c r="D155" s="71"/>
    </row>
    <row r="156" spans="1:4" x14ac:dyDescent="0.2">
      <c r="A156" s="111"/>
      <c r="B156" s="112"/>
      <c r="C156" s="71"/>
      <c r="D156" s="71"/>
    </row>
    <row r="157" spans="1:4" x14ac:dyDescent="0.2">
      <c r="A157" s="111"/>
      <c r="B157" s="112"/>
      <c r="C157" s="71"/>
      <c r="D157" s="71"/>
    </row>
    <row r="158" spans="1:4" x14ac:dyDescent="0.2">
      <c r="A158" s="111"/>
      <c r="B158" s="112"/>
      <c r="C158" s="71"/>
      <c r="D158" s="71"/>
    </row>
    <row r="159" spans="1:4" x14ac:dyDescent="0.2">
      <c r="A159" s="111"/>
      <c r="B159" s="112"/>
      <c r="C159" s="71"/>
      <c r="D159" s="71"/>
    </row>
    <row r="160" spans="1:4" x14ac:dyDescent="0.2">
      <c r="A160" s="111"/>
      <c r="B160" s="112"/>
      <c r="C160" s="71"/>
      <c r="D160" s="71"/>
    </row>
    <row r="161" spans="1:4" x14ac:dyDescent="0.2">
      <c r="A161" s="111"/>
      <c r="B161" s="112"/>
      <c r="C161" s="71"/>
      <c r="D161" s="71"/>
    </row>
    <row r="162" spans="1:4" x14ac:dyDescent="0.2">
      <c r="A162" s="111"/>
      <c r="B162" s="112"/>
      <c r="C162" s="71"/>
      <c r="D162" s="71"/>
    </row>
    <row r="163" spans="1:4" x14ac:dyDescent="0.2">
      <c r="A163" s="111"/>
      <c r="B163" s="112"/>
      <c r="C163" s="71"/>
      <c r="D163" s="71"/>
    </row>
    <row r="164" spans="1:4" x14ac:dyDescent="0.2">
      <c r="A164" s="111"/>
      <c r="B164" s="112"/>
      <c r="C164" s="71"/>
      <c r="D164" s="71"/>
    </row>
    <row r="165" spans="1:4" x14ac:dyDescent="0.2">
      <c r="A165" s="111"/>
      <c r="B165" s="112"/>
      <c r="C165" s="71"/>
      <c r="D165" s="71"/>
    </row>
    <row r="166" spans="1:4" x14ac:dyDescent="0.2">
      <c r="A166" s="111"/>
      <c r="B166" s="112"/>
      <c r="C166" s="71"/>
      <c r="D166" s="71"/>
    </row>
    <row r="167" spans="1:4" x14ac:dyDescent="0.2">
      <c r="A167" s="111"/>
      <c r="B167" s="112"/>
      <c r="C167" s="71"/>
      <c r="D167" s="71"/>
    </row>
    <row r="168" spans="1:4" x14ac:dyDescent="0.2">
      <c r="A168" s="111"/>
      <c r="B168" s="112"/>
      <c r="C168" s="71"/>
      <c r="D168" s="71"/>
    </row>
    <row r="169" spans="1:4" x14ac:dyDescent="0.2">
      <c r="A169" s="111"/>
      <c r="B169" s="112"/>
      <c r="C169" s="71"/>
      <c r="D169" s="71"/>
    </row>
    <row r="170" spans="1:4" x14ac:dyDescent="0.2">
      <c r="A170" s="111"/>
      <c r="B170" s="112"/>
      <c r="C170" s="71"/>
      <c r="D170" s="71"/>
    </row>
    <row r="171" spans="1:4" x14ac:dyDescent="0.2">
      <c r="A171" s="111"/>
      <c r="B171" s="112"/>
      <c r="C171" s="71"/>
      <c r="D171" s="71"/>
    </row>
    <row r="172" spans="1:4" x14ac:dyDescent="0.2">
      <c r="A172" s="111"/>
      <c r="B172" s="112"/>
      <c r="C172" s="71"/>
      <c r="D172" s="71"/>
    </row>
    <row r="173" spans="1:4" x14ac:dyDescent="0.2">
      <c r="A173" s="111"/>
      <c r="B173" s="112"/>
      <c r="C173" s="71"/>
      <c r="D173" s="71"/>
    </row>
    <row r="174" spans="1:4" x14ac:dyDescent="0.2">
      <c r="A174" s="111"/>
      <c r="B174" s="112"/>
      <c r="C174" s="71"/>
      <c r="D174" s="71"/>
    </row>
    <row r="175" spans="1:4" x14ac:dyDescent="0.2">
      <c r="A175" s="111"/>
      <c r="B175" s="112"/>
      <c r="C175" s="71"/>
      <c r="D175" s="71"/>
    </row>
    <row r="176" spans="1:4" x14ac:dyDescent="0.2">
      <c r="A176" s="111"/>
      <c r="B176" s="112"/>
      <c r="C176" s="71"/>
      <c r="D176" s="71"/>
    </row>
    <row r="177" spans="1:4" x14ac:dyDescent="0.2">
      <c r="A177" s="111"/>
      <c r="B177" s="112"/>
      <c r="C177" s="71"/>
      <c r="D177" s="71"/>
    </row>
    <row r="178" spans="1:4" x14ac:dyDescent="0.2">
      <c r="A178" s="111"/>
      <c r="B178" s="112"/>
      <c r="C178" s="71"/>
      <c r="D178" s="71"/>
    </row>
    <row r="179" spans="1:4" x14ac:dyDescent="0.2">
      <c r="A179" s="111"/>
      <c r="B179" s="112"/>
      <c r="C179" s="71"/>
      <c r="D179" s="71"/>
    </row>
    <row r="180" spans="1:4" x14ac:dyDescent="0.2">
      <c r="A180" s="111"/>
      <c r="B180" s="112"/>
      <c r="C180" s="71"/>
      <c r="D180" s="71"/>
    </row>
    <row r="181" spans="1:4" x14ac:dyDescent="0.2">
      <c r="A181" s="111"/>
      <c r="B181" s="112"/>
      <c r="C181" s="71"/>
      <c r="D181" s="71"/>
    </row>
    <row r="182" spans="1:4" x14ac:dyDescent="0.2">
      <c r="A182" s="111"/>
      <c r="B182" s="112"/>
      <c r="C182" s="71"/>
      <c r="D182" s="71"/>
    </row>
    <row r="183" spans="1:4" x14ac:dyDescent="0.2">
      <c r="A183" s="111"/>
      <c r="B183" s="112"/>
      <c r="C183" s="71"/>
      <c r="D183" s="71"/>
    </row>
    <row r="184" spans="1:4" x14ac:dyDescent="0.2">
      <c r="A184" s="111"/>
      <c r="B184" s="112"/>
      <c r="C184" s="71"/>
      <c r="D184" s="71"/>
    </row>
    <row r="185" spans="1:4" x14ac:dyDescent="0.2">
      <c r="A185" s="111"/>
      <c r="B185" s="112"/>
      <c r="C185" s="71"/>
      <c r="D185" s="71"/>
    </row>
    <row r="186" spans="1:4" x14ac:dyDescent="0.2">
      <c r="A186" s="111"/>
      <c r="B186" s="112"/>
      <c r="C186" s="71"/>
      <c r="D186" s="71"/>
    </row>
    <row r="187" spans="1:4" x14ac:dyDescent="0.2">
      <c r="A187" s="111"/>
      <c r="B187" s="112"/>
      <c r="C187" s="71"/>
      <c r="D187" s="71"/>
    </row>
    <row r="188" spans="1:4" x14ac:dyDescent="0.2">
      <c r="A188" s="111"/>
      <c r="B188" s="112"/>
      <c r="C188" s="71"/>
      <c r="D188" s="71"/>
    </row>
    <row r="189" spans="1:4" x14ac:dyDescent="0.2">
      <c r="A189" s="111"/>
      <c r="B189" s="112"/>
      <c r="C189" s="71"/>
      <c r="D189" s="71"/>
    </row>
    <row r="190" spans="1:4" x14ac:dyDescent="0.2">
      <c r="A190" s="111"/>
      <c r="B190" s="112"/>
      <c r="C190" s="71"/>
      <c r="D190" s="71"/>
    </row>
    <row r="191" spans="1:4" x14ac:dyDescent="0.2">
      <c r="A191" s="111"/>
      <c r="B191" s="112"/>
      <c r="C191" s="71"/>
      <c r="D191" s="71"/>
    </row>
    <row r="192" spans="1:4" x14ac:dyDescent="0.2">
      <c r="A192" s="111"/>
      <c r="B192" s="112"/>
      <c r="C192" s="71"/>
      <c r="D192" s="71"/>
    </row>
    <row r="193" spans="1:4" x14ac:dyDescent="0.2">
      <c r="A193" s="111"/>
      <c r="B193" s="112"/>
      <c r="C193" s="71"/>
      <c r="D193" s="71"/>
    </row>
    <row r="194" spans="1:4" x14ac:dyDescent="0.2">
      <c r="A194" s="111"/>
      <c r="B194" s="112"/>
      <c r="C194" s="71"/>
      <c r="D194" s="71"/>
    </row>
    <row r="195" spans="1:4" x14ac:dyDescent="0.2">
      <c r="A195" s="111"/>
      <c r="B195" s="112"/>
      <c r="C195" s="71"/>
      <c r="D195" s="71"/>
    </row>
    <row r="196" spans="1:4" x14ac:dyDescent="0.2">
      <c r="A196" s="111"/>
      <c r="B196" s="112"/>
      <c r="C196" s="71"/>
      <c r="D196" s="71"/>
    </row>
    <row r="197" spans="1:4" x14ac:dyDescent="0.2">
      <c r="A197" s="111"/>
      <c r="B197" s="112"/>
      <c r="C197" s="71"/>
      <c r="D197" s="71"/>
    </row>
    <row r="198" spans="1:4" x14ac:dyDescent="0.2">
      <c r="A198" s="111"/>
      <c r="B198" s="112"/>
      <c r="C198" s="71"/>
      <c r="D198" s="71"/>
    </row>
    <row r="199" spans="1:4" x14ac:dyDescent="0.2">
      <c r="A199" s="111"/>
      <c r="B199" s="112"/>
      <c r="C199" s="71"/>
      <c r="D199" s="71"/>
    </row>
    <row r="200" spans="1:4" x14ac:dyDescent="0.2">
      <c r="A200" s="111"/>
      <c r="B200" s="112"/>
      <c r="C200" s="71"/>
      <c r="D200" s="71"/>
    </row>
    <row r="201" spans="1:4" x14ac:dyDescent="0.2">
      <c r="A201" s="111"/>
      <c r="B201" s="112"/>
      <c r="C201" s="71"/>
      <c r="D201" s="71"/>
    </row>
    <row r="202" spans="1:4" x14ac:dyDescent="0.2">
      <c r="A202" s="111"/>
      <c r="B202" s="112"/>
      <c r="C202" s="71"/>
      <c r="D202" s="71"/>
    </row>
    <row r="203" spans="1:4" x14ac:dyDescent="0.2">
      <c r="A203" s="111"/>
      <c r="B203" s="112"/>
      <c r="C203" s="71"/>
      <c r="D203" s="71"/>
    </row>
    <row r="204" spans="1:4" x14ac:dyDescent="0.2">
      <c r="A204" s="111"/>
      <c r="B204" s="112"/>
      <c r="C204" s="71"/>
      <c r="D204" s="71"/>
    </row>
    <row r="205" spans="1:4" x14ac:dyDescent="0.2">
      <c r="A205" s="111"/>
      <c r="B205" s="112"/>
      <c r="C205" s="71"/>
      <c r="D205" s="71"/>
    </row>
    <row r="206" spans="1:4" x14ac:dyDescent="0.2">
      <c r="A206" s="111"/>
      <c r="B206" s="112"/>
      <c r="C206" s="71"/>
      <c r="D206" s="71"/>
    </row>
    <row r="207" spans="1:4" x14ac:dyDescent="0.2">
      <c r="A207" s="111"/>
      <c r="B207" s="112"/>
      <c r="C207" s="71"/>
      <c r="D207" s="71"/>
    </row>
    <row r="208" spans="1:4" x14ac:dyDescent="0.2">
      <c r="A208" s="111"/>
      <c r="B208" s="112"/>
      <c r="C208" s="71"/>
      <c r="D208" s="71"/>
    </row>
    <row r="209" spans="1:4" x14ac:dyDescent="0.2">
      <c r="A209" s="111"/>
      <c r="B209" s="112"/>
      <c r="C209" s="71"/>
      <c r="D209" s="71"/>
    </row>
    <row r="210" spans="1:4" x14ac:dyDescent="0.2">
      <c r="A210" s="111"/>
      <c r="B210" s="112"/>
      <c r="C210" s="71"/>
      <c r="D210" s="71"/>
    </row>
    <row r="211" spans="1:4" x14ac:dyDescent="0.2">
      <c r="A211" s="111"/>
      <c r="B211" s="112"/>
      <c r="C211" s="71"/>
      <c r="D211" s="71"/>
    </row>
    <row r="212" spans="1:4" x14ac:dyDescent="0.2">
      <c r="A212" s="111"/>
      <c r="B212" s="112"/>
      <c r="C212" s="72"/>
      <c r="D212" s="72"/>
    </row>
    <row r="213" spans="1:4" x14ac:dyDescent="0.2">
      <c r="A213" s="111"/>
      <c r="B213" s="112"/>
      <c r="C213" s="72"/>
      <c r="D213" s="72"/>
    </row>
    <row r="214" spans="1:4" x14ac:dyDescent="0.2">
      <c r="A214" s="111"/>
      <c r="B214" s="112"/>
      <c r="C214" s="72"/>
      <c r="D214" s="72"/>
    </row>
    <row r="215" spans="1:4" x14ac:dyDescent="0.2">
      <c r="A215" s="111"/>
      <c r="B215" s="112"/>
      <c r="C215" s="72"/>
      <c r="D215" s="72"/>
    </row>
    <row r="216" spans="1:4" x14ac:dyDescent="0.2">
      <c r="A216" s="111"/>
      <c r="B216" s="112"/>
      <c r="C216" s="72"/>
      <c r="D216" s="72"/>
    </row>
    <row r="217" spans="1:4" x14ac:dyDescent="0.2">
      <c r="A217" s="111"/>
      <c r="B217" s="112"/>
      <c r="C217" s="72"/>
      <c r="D217" s="72"/>
    </row>
    <row r="218" spans="1:4" x14ac:dyDescent="0.2">
      <c r="A218" s="111"/>
      <c r="B218" s="112"/>
      <c r="C218" s="72"/>
      <c r="D218" s="72"/>
    </row>
    <row r="219" spans="1:4" x14ac:dyDescent="0.2">
      <c r="A219" s="111"/>
      <c r="B219" s="112"/>
      <c r="C219" s="72"/>
      <c r="D219" s="72"/>
    </row>
    <row r="220" spans="1:4" x14ac:dyDescent="0.2">
      <c r="A220" s="111"/>
      <c r="B220" s="112"/>
      <c r="C220" s="72"/>
      <c r="D220" s="72"/>
    </row>
    <row r="221" spans="1:4" x14ac:dyDescent="0.2">
      <c r="A221" s="111"/>
      <c r="B221" s="112"/>
      <c r="C221" s="72"/>
      <c r="D221" s="72"/>
    </row>
    <row r="222" spans="1:4" x14ac:dyDescent="0.2">
      <c r="A222" s="111"/>
      <c r="B222" s="112"/>
      <c r="C222" s="72"/>
      <c r="D222" s="72"/>
    </row>
    <row r="223" spans="1:4" x14ac:dyDescent="0.2">
      <c r="A223" s="111"/>
      <c r="B223" s="112"/>
      <c r="C223" s="72"/>
      <c r="D223" s="72"/>
    </row>
    <row r="224" spans="1:4" x14ac:dyDescent="0.2">
      <c r="A224" s="111"/>
      <c r="B224" s="112"/>
      <c r="C224" s="72"/>
      <c r="D224" s="72"/>
    </row>
    <row r="225" spans="1:4" x14ac:dyDescent="0.2">
      <c r="A225" s="111"/>
      <c r="B225" s="112"/>
      <c r="C225" s="72"/>
      <c r="D225" s="72"/>
    </row>
    <row r="226" spans="1:4" x14ac:dyDescent="0.2">
      <c r="A226" s="111"/>
      <c r="B226" s="112"/>
      <c r="C226" s="72"/>
      <c r="D226" s="72"/>
    </row>
    <row r="227" spans="1:4" x14ac:dyDescent="0.2">
      <c r="A227" s="111"/>
      <c r="B227" s="112"/>
      <c r="C227" s="72"/>
      <c r="D227" s="72"/>
    </row>
    <row r="228" spans="1:4" x14ac:dyDescent="0.2">
      <c r="A228" s="111"/>
      <c r="B228" s="112"/>
      <c r="C228" s="72"/>
      <c r="D228" s="72"/>
    </row>
    <row r="229" spans="1:4" x14ac:dyDescent="0.2">
      <c r="A229" s="111"/>
      <c r="B229" s="112"/>
      <c r="C229" s="72"/>
      <c r="D229" s="72"/>
    </row>
    <row r="230" spans="1:4" x14ac:dyDescent="0.2">
      <c r="A230" s="111"/>
      <c r="B230" s="112"/>
      <c r="C230" s="72"/>
      <c r="D230" s="72"/>
    </row>
    <row r="231" spans="1:4" x14ac:dyDescent="0.2">
      <c r="A231" s="111"/>
      <c r="B231" s="112"/>
      <c r="C231" s="72"/>
      <c r="D231" s="72"/>
    </row>
    <row r="232" spans="1:4" x14ac:dyDescent="0.2">
      <c r="A232" s="111"/>
      <c r="B232" s="112"/>
      <c r="C232" s="72"/>
      <c r="D232" s="72"/>
    </row>
    <row r="233" spans="1:4" x14ac:dyDescent="0.2">
      <c r="A233" s="111"/>
      <c r="B233" s="112"/>
      <c r="C233" s="72"/>
      <c r="D233" s="72"/>
    </row>
    <row r="234" spans="1:4" x14ac:dyDescent="0.2">
      <c r="A234" s="111"/>
      <c r="B234" s="112"/>
      <c r="C234" s="72"/>
      <c r="D234" s="72"/>
    </row>
    <row r="235" spans="1:4" x14ac:dyDescent="0.2">
      <c r="A235" s="111"/>
      <c r="B235" s="112"/>
      <c r="C235" s="72"/>
      <c r="D235" s="72"/>
    </row>
    <row r="236" spans="1:4" x14ac:dyDescent="0.2">
      <c r="A236" s="111"/>
      <c r="B236" s="112"/>
      <c r="C236" s="72"/>
      <c r="D236" s="72"/>
    </row>
    <row r="237" spans="1:4" x14ac:dyDescent="0.2">
      <c r="A237" s="111"/>
      <c r="B237" s="112"/>
      <c r="C237" s="72"/>
      <c r="D237" s="72"/>
    </row>
    <row r="238" spans="1:4" x14ac:dyDescent="0.2">
      <c r="A238" s="111"/>
      <c r="B238" s="112"/>
      <c r="C238" s="72"/>
      <c r="D238" s="72"/>
    </row>
    <row r="239" spans="1:4" x14ac:dyDescent="0.2">
      <c r="A239" s="111"/>
      <c r="B239" s="112"/>
      <c r="C239" s="72"/>
      <c r="D239" s="72"/>
    </row>
    <row r="240" spans="1:4" x14ac:dyDescent="0.2">
      <c r="A240" s="111"/>
      <c r="B240" s="112"/>
      <c r="C240" s="72"/>
      <c r="D240" s="72"/>
    </row>
    <row r="241" spans="1:4" x14ac:dyDescent="0.2">
      <c r="A241" s="111"/>
      <c r="B241" s="112"/>
      <c r="C241" s="72"/>
      <c r="D241" s="72"/>
    </row>
    <row r="242" spans="1:4" x14ac:dyDescent="0.2">
      <c r="A242" s="111"/>
      <c r="B242" s="112"/>
      <c r="C242" s="72"/>
      <c r="D242" s="72"/>
    </row>
    <row r="243" spans="1:4" x14ac:dyDescent="0.2">
      <c r="A243" s="111"/>
      <c r="B243" s="112"/>
      <c r="C243" s="72"/>
      <c r="D243" s="72"/>
    </row>
    <row r="244" spans="1:4" x14ac:dyDescent="0.2">
      <c r="A244" s="111"/>
      <c r="B244" s="112"/>
      <c r="C244" s="72"/>
      <c r="D244" s="72"/>
    </row>
    <row r="245" spans="1:4" x14ac:dyDescent="0.2">
      <c r="A245" s="111"/>
      <c r="B245" s="112"/>
      <c r="C245" s="72"/>
      <c r="D245" s="72"/>
    </row>
    <row r="246" spans="1:4" x14ac:dyDescent="0.2">
      <c r="A246" s="111"/>
      <c r="B246" s="112"/>
      <c r="C246" s="72"/>
      <c r="D246" s="72"/>
    </row>
    <row r="247" spans="1:4" x14ac:dyDescent="0.2">
      <c r="A247" s="111"/>
      <c r="B247" s="112"/>
      <c r="C247" s="72"/>
      <c r="D247" s="72"/>
    </row>
    <row r="248" spans="1:4" x14ac:dyDescent="0.2">
      <c r="A248" s="111"/>
      <c r="B248" s="112"/>
      <c r="C248" s="72"/>
      <c r="D248" s="72"/>
    </row>
    <row r="249" spans="1:4" x14ac:dyDescent="0.2">
      <c r="A249" s="111"/>
      <c r="B249" s="112"/>
      <c r="C249" s="72"/>
      <c r="D249" s="72"/>
    </row>
    <row r="250" spans="1:4" x14ac:dyDescent="0.2">
      <c r="A250" s="111"/>
      <c r="B250" s="112"/>
      <c r="C250" s="72"/>
      <c r="D250" s="72"/>
    </row>
    <row r="251" spans="1:4" x14ac:dyDescent="0.2">
      <c r="A251" s="111"/>
      <c r="B251" s="112"/>
      <c r="C251" s="72"/>
      <c r="D251" s="72"/>
    </row>
    <row r="252" spans="1:4" x14ac:dyDescent="0.2">
      <c r="A252" s="111"/>
      <c r="B252" s="112"/>
      <c r="C252" s="72"/>
      <c r="D252" s="72"/>
    </row>
    <row r="253" spans="1:4" x14ac:dyDescent="0.2">
      <c r="A253" s="111"/>
      <c r="B253" s="112"/>
      <c r="C253" s="72"/>
      <c r="D253" s="72"/>
    </row>
    <row r="254" spans="1:4" x14ac:dyDescent="0.2">
      <c r="A254" s="111"/>
      <c r="B254" s="112"/>
      <c r="C254" s="72"/>
      <c r="D254" s="72"/>
    </row>
    <row r="255" spans="1:4" x14ac:dyDescent="0.2">
      <c r="A255" s="111"/>
      <c r="B255" s="112"/>
      <c r="C255" s="72"/>
      <c r="D255" s="72"/>
    </row>
    <row r="256" spans="1:4" x14ac:dyDescent="0.2">
      <c r="A256" s="111"/>
      <c r="B256" s="112"/>
      <c r="C256" s="72"/>
      <c r="D256" s="72"/>
    </row>
    <row r="257" spans="1:4" x14ac:dyDescent="0.2">
      <c r="A257" s="111"/>
      <c r="B257" s="112"/>
      <c r="C257" s="72"/>
      <c r="D257" s="72"/>
    </row>
    <row r="258" spans="1:4" x14ac:dyDescent="0.2">
      <c r="A258" s="111"/>
      <c r="B258" s="112"/>
      <c r="C258" s="72"/>
      <c r="D258" s="72"/>
    </row>
    <row r="259" spans="1:4" x14ac:dyDescent="0.2">
      <c r="A259" s="111"/>
      <c r="B259" s="112"/>
      <c r="C259" s="72"/>
      <c r="D259" s="72"/>
    </row>
    <row r="260" spans="1:4" x14ac:dyDescent="0.2">
      <c r="A260" s="111"/>
      <c r="B260" s="112"/>
      <c r="C260" s="72"/>
      <c r="D260" s="72"/>
    </row>
    <row r="261" spans="1:4" x14ac:dyDescent="0.2">
      <c r="A261" s="111"/>
      <c r="B261" s="112"/>
      <c r="C261" s="72"/>
      <c r="D261" s="72"/>
    </row>
    <row r="262" spans="1:4" x14ac:dyDescent="0.2">
      <c r="A262" s="111"/>
      <c r="B262" s="112"/>
      <c r="C262" s="72"/>
      <c r="D262" s="72"/>
    </row>
    <row r="263" spans="1:4" x14ac:dyDescent="0.2">
      <c r="A263" s="111"/>
      <c r="B263" s="112"/>
      <c r="C263" s="72"/>
      <c r="D263" s="72"/>
    </row>
    <row r="264" spans="1:4" x14ac:dyDescent="0.2">
      <c r="A264" s="111"/>
      <c r="B264" s="112"/>
      <c r="C264" s="72"/>
      <c r="D264" s="72"/>
    </row>
    <row r="265" spans="1:4" x14ac:dyDescent="0.2">
      <c r="A265" s="111"/>
      <c r="B265" s="112"/>
      <c r="C265" s="72"/>
      <c r="D265" s="72"/>
    </row>
    <row r="266" spans="1:4" x14ac:dyDescent="0.2">
      <c r="A266" s="111"/>
      <c r="B266" s="112"/>
      <c r="C266" s="72"/>
      <c r="D266" s="72"/>
    </row>
    <row r="267" spans="1:4" x14ac:dyDescent="0.2">
      <c r="A267" s="111"/>
      <c r="B267" s="112"/>
      <c r="C267" s="72"/>
      <c r="D267" s="72"/>
    </row>
    <row r="268" spans="1:4" x14ac:dyDescent="0.2">
      <c r="A268" s="111"/>
      <c r="B268" s="112"/>
      <c r="C268" s="72"/>
      <c r="D268" s="72"/>
    </row>
    <row r="269" spans="1:4" x14ac:dyDescent="0.2">
      <c r="A269" s="111"/>
      <c r="B269" s="112"/>
      <c r="C269" s="72"/>
      <c r="D269" s="72"/>
    </row>
    <row r="270" spans="1:4" x14ac:dyDescent="0.2">
      <c r="A270" s="111"/>
      <c r="B270" s="112"/>
      <c r="C270" s="72"/>
      <c r="D270" s="72"/>
    </row>
    <row r="271" spans="1:4" x14ac:dyDescent="0.2">
      <c r="A271" s="111"/>
      <c r="B271" s="112"/>
      <c r="C271" s="72"/>
      <c r="D271" s="72"/>
    </row>
    <row r="272" spans="1:4" x14ac:dyDescent="0.2">
      <c r="A272" s="111"/>
      <c r="B272" s="112"/>
      <c r="C272" s="72"/>
      <c r="D272" s="72"/>
    </row>
    <row r="273" spans="1:4" x14ac:dyDescent="0.2">
      <c r="A273" s="111"/>
      <c r="B273" s="112"/>
      <c r="C273" s="72"/>
      <c r="D273" s="72"/>
    </row>
    <row r="274" spans="1:4" x14ac:dyDescent="0.2">
      <c r="A274" s="111"/>
      <c r="B274" s="112"/>
      <c r="C274" s="72"/>
      <c r="D274" s="72"/>
    </row>
    <row r="275" spans="1:4" x14ac:dyDescent="0.2">
      <c r="A275" s="111"/>
      <c r="B275" s="112"/>
      <c r="C275" s="72"/>
      <c r="D275" s="72"/>
    </row>
    <row r="276" spans="1:4" x14ac:dyDescent="0.2">
      <c r="A276" s="111"/>
      <c r="B276" s="112"/>
      <c r="C276" s="72"/>
      <c r="D276" s="72"/>
    </row>
    <row r="277" spans="1:4" x14ac:dyDescent="0.2">
      <c r="A277" s="111"/>
      <c r="B277" s="112"/>
      <c r="C277" s="72"/>
      <c r="D277" s="72"/>
    </row>
    <row r="278" spans="1:4" x14ac:dyDescent="0.2">
      <c r="A278" s="111"/>
      <c r="B278" s="112"/>
      <c r="C278" s="72"/>
      <c r="D278" s="72"/>
    </row>
    <row r="279" spans="1:4" x14ac:dyDescent="0.2">
      <c r="A279" s="111"/>
      <c r="B279" s="112"/>
      <c r="C279" s="72"/>
      <c r="D279" s="72"/>
    </row>
    <row r="280" spans="1:4" x14ac:dyDescent="0.2">
      <c r="A280" s="111"/>
      <c r="B280" s="112"/>
      <c r="C280" s="72"/>
      <c r="D280" s="72"/>
    </row>
    <row r="281" spans="1:4" x14ac:dyDescent="0.2">
      <c r="A281" s="111"/>
      <c r="B281" s="112"/>
      <c r="C281" s="72"/>
      <c r="D281" s="72"/>
    </row>
    <row r="282" spans="1:4" x14ac:dyDescent="0.2">
      <c r="A282" s="111"/>
      <c r="B282" s="112"/>
      <c r="C282" s="72"/>
      <c r="D282" s="72"/>
    </row>
    <row r="283" spans="1:4" x14ac:dyDescent="0.2">
      <c r="A283" s="111"/>
      <c r="B283" s="112"/>
      <c r="C283" s="72"/>
      <c r="D283" s="72"/>
    </row>
    <row r="284" spans="1:4" x14ac:dyDescent="0.2">
      <c r="A284" s="111"/>
      <c r="B284" s="112"/>
      <c r="C284" s="72"/>
      <c r="D284" s="72"/>
    </row>
    <row r="285" spans="1:4" x14ac:dyDescent="0.2">
      <c r="A285" s="111"/>
      <c r="B285" s="112"/>
      <c r="C285" s="72"/>
      <c r="D285" s="72"/>
    </row>
    <row r="286" spans="1:4" x14ac:dyDescent="0.2">
      <c r="A286" s="111"/>
      <c r="B286" s="112"/>
      <c r="C286" s="72"/>
      <c r="D286" s="72"/>
    </row>
    <row r="287" spans="1:4" x14ac:dyDescent="0.2">
      <c r="A287" s="111"/>
      <c r="B287" s="112"/>
      <c r="C287" s="72"/>
      <c r="D287" s="72"/>
    </row>
    <row r="288" spans="1:4" x14ac:dyDescent="0.2">
      <c r="A288" s="111"/>
      <c r="B288" s="112"/>
      <c r="C288" s="72"/>
      <c r="D288" s="72"/>
    </row>
    <row r="289" spans="1:4" x14ac:dyDescent="0.2">
      <c r="A289" s="111"/>
      <c r="B289" s="112"/>
      <c r="C289" s="72"/>
      <c r="D289" s="72"/>
    </row>
    <row r="290" spans="1:4" x14ac:dyDescent="0.2">
      <c r="A290" s="111"/>
      <c r="B290" s="112"/>
      <c r="C290" s="72"/>
      <c r="D290" s="72"/>
    </row>
    <row r="291" spans="1:4" x14ac:dyDescent="0.2">
      <c r="A291" s="111"/>
      <c r="B291" s="112"/>
      <c r="C291" s="72"/>
      <c r="D291" s="72"/>
    </row>
    <row r="292" spans="1:4" x14ac:dyDescent="0.2">
      <c r="A292" s="111"/>
      <c r="B292" s="112"/>
      <c r="C292" s="72"/>
      <c r="D292" s="72"/>
    </row>
    <row r="293" spans="1:4" x14ac:dyDescent="0.2">
      <c r="A293" s="111"/>
      <c r="B293" s="112"/>
      <c r="C293" s="72"/>
      <c r="D293" s="72"/>
    </row>
    <row r="294" spans="1:4" x14ac:dyDescent="0.2">
      <c r="A294" s="111"/>
      <c r="B294" s="112"/>
      <c r="C294" s="72"/>
      <c r="D294" s="72"/>
    </row>
    <row r="295" spans="1:4" x14ac:dyDescent="0.2">
      <c r="A295" s="111"/>
      <c r="B295" s="112"/>
      <c r="C295" s="72"/>
      <c r="D295" s="72"/>
    </row>
    <row r="296" spans="1:4" x14ac:dyDescent="0.2">
      <c r="A296" s="111"/>
      <c r="B296" s="112"/>
      <c r="C296" s="72"/>
      <c r="D296" s="72"/>
    </row>
    <row r="297" spans="1:4" x14ac:dyDescent="0.2">
      <c r="A297" s="111"/>
      <c r="B297" s="112"/>
      <c r="C297" s="72"/>
      <c r="D297" s="72"/>
    </row>
    <row r="298" spans="1:4" x14ac:dyDescent="0.2">
      <c r="A298" s="111"/>
      <c r="B298" s="112"/>
      <c r="C298" s="72"/>
      <c r="D298" s="72"/>
    </row>
    <row r="299" spans="1:4" x14ac:dyDescent="0.2">
      <c r="A299" s="111"/>
      <c r="B299" s="112"/>
      <c r="C299" s="72"/>
      <c r="D299" s="72"/>
    </row>
    <row r="300" spans="1:4" x14ac:dyDescent="0.2">
      <c r="A300" s="111"/>
      <c r="B300" s="112"/>
      <c r="C300" s="72"/>
      <c r="D300" s="72"/>
    </row>
    <row r="301" spans="1:4" x14ac:dyDescent="0.2">
      <c r="A301" s="111"/>
      <c r="B301" s="112"/>
      <c r="C301" s="72"/>
      <c r="D301" s="72"/>
    </row>
    <row r="302" spans="1:4" x14ac:dyDescent="0.2">
      <c r="A302" s="111"/>
      <c r="B302" s="112"/>
      <c r="C302" s="72"/>
      <c r="D302" s="72"/>
    </row>
    <row r="303" spans="1:4" x14ac:dyDescent="0.2">
      <c r="A303" s="111"/>
      <c r="B303" s="112"/>
      <c r="C303" s="72"/>
      <c r="D303" s="72"/>
    </row>
    <row r="304" spans="1:4" x14ac:dyDescent="0.2">
      <c r="A304" s="111"/>
      <c r="B304" s="112"/>
      <c r="C304" s="72"/>
      <c r="D304" s="72"/>
    </row>
    <row r="305" spans="1:4" x14ac:dyDescent="0.2">
      <c r="A305" s="111"/>
      <c r="B305" s="112"/>
      <c r="C305" s="72"/>
      <c r="D305" s="72"/>
    </row>
    <row r="306" spans="1:4" x14ac:dyDescent="0.2">
      <c r="A306" s="111"/>
      <c r="B306" s="112"/>
      <c r="C306" s="72"/>
      <c r="D306" s="72"/>
    </row>
    <row r="307" spans="1:4" x14ac:dyDescent="0.2">
      <c r="A307" s="111"/>
      <c r="B307" s="112"/>
      <c r="C307" s="72"/>
      <c r="D307" s="72"/>
    </row>
    <row r="308" spans="1:4" x14ac:dyDescent="0.2">
      <c r="A308" s="111"/>
      <c r="B308" s="112"/>
      <c r="C308" s="72"/>
      <c r="D308" s="72"/>
    </row>
    <row r="309" spans="1:4" x14ac:dyDescent="0.2">
      <c r="A309" s="111"/>
      <c r="B309" s="112"/>
      <c r="C309" s="72"/>
      <c r="D309" s="72"/>
    </row>
    <row r="310" spans="1:4" x14ac:dyDescent="0.2">
      <c r="A310" s="111"/>
      <c r="B310" s="112"/>
      <c r="C310" s="72"/>
      <c r="D310" s="72"/>
    </row>
    <row r="311" spans="1:4" x14ac:dyDescent="0.2">
      <c r="A311" s="111"/>
      <c r="B311" s="112"/>
      <c r="C311" s="72"/>
      <c r="D311" s="72"/>
    </row>
    <row r="312" spans="1:4" x14ac:dyDescent="0.2">
      <c r="A312" s="111"/>
      <c r="B312" s="112"/>
      <c r="C312" s="72"/>
      <c r="D312" s="72"/>
    </row>
    <row r="313" spans="1:4" x14ac:dyDescent="0.2">
      <c r="A313" s="111"/>
      <c r="B313" s="112"/>
      <c r="C313" s="72"/>
      <c r="D313" s="72"/>
    </row>
    <row r="314" spans="1:4" x14ac:dyDescent="0.2">
      <c r="A314" s="111"/>
      <c r="B314" s="112"/>
      <c r="C314" s="72"/>
      <c r="D314" s="72"/>
    </row>
    <row r="315" spans="1:4" x14ac:dyDescent="0.2">
      <c r="A315" s="111"/>
      <c r="B315" s="112"/>
      <c r="C315" s="72"/>
      <c r="D315" s="72"/>
    </row>
    <row r="316" spans="1:4" x14ac:dyDescent="0.2">
      <c r="A316" s="111"/>
      <c r="B316" s="112"/>
      <c r="C316" s="72"/>
      <c r="D316" s="72"/>
    </row>
    <row r="317" spans="1:4" x14ac:dyDescent="0.2">
      <c r="A317" s="111"/>
      <c r="B317" s="112"/>
      <c r="C317" s="72"/>
      <c r="D317" s="72"/>
    </row>
    <row r="318" spans="1:4" x14ac:dyDescent="0.2">
      <c r="A318" s="111"/>
      <c r="B318" s="112"/>
      <c r="C318" s="72"/>
      <c r="D318" s="72"/>
    </row>
    <row r="319" spans="1:4" x14ac:dyDescent="0.2">
      <c r="A319" s="111"/>
      <c r="B319" s="112"/>
      <c r="C319" s="72"/>
      <c r="D319" s="72"/>
    </row>
    <row r="320" spans="1:4" x14ac:dyDescent="0.2">
      <c r="A320" s="111"/>
      <c r="B320" s="112"/>
      <c r="C320" s="72"/>
      <c r="D320" s="72"/>
    </row>
    <row r="321" spans="1:4" x14ac:dyDescent="0.2">
      <c r="A321" s="111"/>
      <c r="B321" s="112"/>
      <c r="C321" s="72"/>
      <c r="D321" s="72"/>
    </row>
    <row r="322" spans="1:4" x14ac:dyDescent="0.2">
      <c r="A322" s="111"/>
      <c r="B322" s="112"/>
      <c r="C322" s="72"/>
      <c r="D322" s="72"/>
    </row>
    <row r="323" spans="1:4" x14ac:dyDescent="0.2">
      <c r="A323" s="111"/>
      <c r="B323" s="112"/>
      <c r="C323" s="72"/>
      <c r="D323" s="72"/>
    </row>
    <row r="324" spans="1:4" x14ac:dyDescent="0.2">
      <c r="A324" s="111"/>
      <c r="B324" s="112"/>
      <c r="C324" s="72"/>
      <c r="D324" s="72"/>
    </row>
    <row r="325" spans="1:4" x14ac:dyDescent="0.2">
      <c r="A325" s="111"/>
      <c r="B325" s="112"/>
      <c r="C325" s="72"/>
      <c r="D325" s="72"/>
    </row>
    <row r="326" spans="1:4" x14ac:dyDescent="0.2">
      <c r="A326" s="111"/>
      <c r="B326" s="112"/>
      <c r="C326" s="72"/>
      <c r="D326" s="72"/>
    </row>
    <row r="327" spans="1:4" x14ac:dyDescent="0.2">
      <c r="A327" s="111"/>
      <c r="B327" s="112"/>
      <c r="C327" s="72"/>
      <c r="D327" s="72"/>
    </row>
    <row r="328" spans="1:4" x14ac:dyDescent="0.2">
      <c r="A328" s="111"/>
      <c r="B328" s="112"/>
      <c r="C328" s="72"/>
      <c r="D328" s="72"/>
    </row>
    <row r="329" spans="1:4" x14ac:dyDescent="0.2">
      <c r="A329" s="111"/>
      <c r="B329" s="112"/>
      <c r="C329" s="72"/>
      <c r="D329" s="72"/>
    </row>
    <row r="330" spans="1:4" x14ac:dyDescent="0.2">
      <c r="A330" s="111"/>
      <c r="B330" s="112"/>
      <c r="C330" s="72"/>
      <c r="D330" s="72"/>
    </row>
    <row r="331" spans="1:4" x14ac:dyDescent="0.2">
      <c r="A331" s="111"/>
      <c r="B331" s="112"/>
      <c r="C331" s="72"/>
      <c r="D331" s="72"/>
    </row>
    <row r="332" spans="1:4" x14ac:dyDescent="0.2">
      <c r="A332" s="111"/>
      <c r="B332" s="112"/>
      <c r="C332" s="72"/>
      <c r="D332" s="72"/>
    </row>
    <row r="333" spans="1:4" x14ac:dyDescent="0.2">
      <c r="A333" s="111"/>
      <c r="B333" s="112"/>
      <c r="C333" s="72"/>
      <c r="D333" s="72"/>
    </row>
    <row r="334" spans="1:4" x14ac:dyDescent="0.2">
      <c r="A334" s="111"/>
      <c r="B334" s="112"/>
      <c r="C334" s="72"/>
      <c r="D334" s="72"/>
    </row>
    <row r="335" spans="1:4" x14ac:dyDescent="0.2">
      <c r="A335" s="111"/>
      <c r="B335" s="112"/>
      <c r="C335" s="72"/>
      <c r="D335" s="72"/>
    </row>
    <row r="336" spans="1:4" x14ac:dyDescent="0.2">
      <c r="A336" s="111"/>
      <c r="B336" s="112"/>
      <c r="C336" s="72"/>
      <c r="D336" s="72"/>
    </row>
    <row r="337" spans="1:4" x14ac:dyDescent="0.2">
      <c r="A337" s="111"/>
      <c r="B337" s="112"/>
      <c r="C337" s="72"/>
      <c r="D337" s="72"/>
    </row>
    <row r="338" spans="1:4" x14ac:dyDescent="0.2">
      <c r="A338" s="111"/>
      <c r="B338" s="112"/>
      <c r="C338" s="72"/>
      <c r="D338" s="72"/>
    </row>
    <row r="339" spans="1:4" x14ac:dyDescent="0.2">
      <c r="A339" s="111"/>
      <c r="B339" s="112"/>
      <c r="C339" s="72"/>
      <c r="D339" s="72"/>
    </row>
    <row r="340" spans="1:4" x14ac:dyDescent="0.2">
      <c r="A340" s="111"/>
      <c r="B340" s="112"/>
      <c r="C340" s="72"/>
      <c r="D340" s="72"/>
    </row>
    <row r="341" spans="1:4" x14ac:dyDescent="0.2">
      <c r="A341" s="111"/>
      <c r="B341" s="112"/>
      <c r="C341" s="72"/>
      <c r="D341" s="72"/>
    </row>
    <row r="342" spans="1:4" x14ac:dyDescent="0.2">
      <c r="A342" s="111"/>
      <c r="B342" s="112"/>
      <c r="C342" s="72"/>
      <c r="D342" s="72"/>
    </row>
    <row r="343" spans="1:4" x14ac:dyDescent="0.2">
      <c r="A343" s="111"/>
      <c r="B343" s="112"/>
      <c r="C343" s="72"/>
      <c r="D343" s="72"/>
    </row>
    <row r="344" spans="1:4" x14ac:dyDescent="0.2">
      <c r="A344" s="111"/>
      <c r="B344" s="112"/>
      <c r="C344" s="72"/>
      <c r="D344" s="72"/>
    </row>
    <row r="345" spans="1:4" x14ac:dyDescent="0.2">
      <c r="A345" s="111"/>
      <c r="B345" s="112"/>
      <c r="C345" s="72"/>
      <c r="D345" s="72"/>
    </row>
    <row r="346" spans="1:4" x14ac:dyDescent="0.2">
      <c r="A346" s="111"/>
      <c r="B346" s="112"/>
      <c r="C346" s="72"/>
      <c r="D346" s="72"/>
    </row>
    <row r="347" spans="1:4" x14ac:dyDescent="0.2">
      <c r="A347" s="111"/>
      <c r="B347" s="112"/>
      <c r="C347" s="72"/>
      <c r="D347" s="72"/>
    </row>
    <row r="348" spans="1:4" x14ac:dyDescent="0.2">
      <c r="A348" s="111"/>
      <c r="B348" s="112"/>
      <c r="C348" s="72"/>
      <c r="D348" s="72"/>
    </row>
    <row r="349" spans="1:4" x14ac:dyDescent="0.2">
      <c r="A349" s="111"/>
      <c r="B349" s="112"/>
      <c r="C349" s="72"/>
      <c r="D349" s="72"/>
    </row>
    <row r="350" spans="1:4" x14ac:dyDescent="0.2">
      <c r="A350" s="111"/>
      <c r="B350" s="112"/>
      <c r="C350" s="72"/>
      <c r="D350" s="72"/>
    </row>
    <row r="351" spans="1:4" x14ac:dyDescent="0.2">
      <c r="A351" s="111"/>
      <c r="B351" s="112"/>
      <c r="C351" s="72"/>
      <c r="D351" s="72"/>
    </row>
    <row r="352" spans="1:4" x14ac:dyDescent="0.2">
      <c r="A352" s="111"/>
      <c r="B352" s="112"/>
      <c r="C352" s="72"/>
      <c r="D352" s="72"/>
    </row>
    <row r="353" spans="1:4" x14ac:dyDescent="0.2">
      <c r="A353" s="111"/>
      <c r="B353" s="112"/>
      <c r="C353" s="72"/>
      <c r="D353" s="72"/>
    </row>
    <row r="354" spans="1:4" x14ac:dyDescent="0.2">
      <c r="A354" s="111"/>
      <c r="B354" s="112"/>
      <c r="C354" s="72"/>
      <c r="D354" s="72"/>
    </row>
    <row r="355" spans="1:4" x14ac:dyDescent="0.2">
      <c r="A355" s="111"/>
      <c r="B355" s="112"/>
      <c r="C355" s="72"/>
      <c r="D355" s="72"/>
    </row>
    <row r="356" spans="1:4" x14ac:dyDescent="0.2">
      <c r="A356" s="111"/>
      <c r="B356" s="112"/>
      <c r="C356" s="72"/>
      <c r="D356" s="72"/>
    </row>
    <row r="357" spans="1:4" x14ac:dyDescent="0.2">
      <c r="A357" s="111"/>
      <c r="B357" s="112"/>
      <c r="C357" s="72"/>
      <c r="D357" s="72"/>
    </row>
    <row r="358" spans="1:4" x14ac:dyDescent="0.2">
      <c r="A358" s="111"/>
      <c r="B358" s="112"/>
      <c r="C358" s="72"/>
      <c r="D358" s="72"/>
    </row>
    <row r="359" spans="1:4" x14ac:dyDescent="0.2">
      <c r="A359" s="111"/>
      <c r="B359" s="112"/>
      <c r="C359" s="72"/>
      <c r="D359" s="72"/>
    </row>
    <row r="360" spans="1:4" x14ac:dyDescent="0.2">
      <c r="A360" s="111"/>
      <c r="B360" s="112"/>
      <c r="C360" s="72"/>
      <c r="D360" s="72"/>
    </row>
    <row r="361" spans="1:4" x14ac:dyDescent="0.2">
      <c r="A361" s="111"/>
      <c r="B361" s="112"/>
      <c r="C361" s="72"/>
      <c r="D361" s="72"/>
    </row>
    <row r="362" spans="1:4" x14ac:dyDescent="0.2">
      <c r="A362" s="111"/>
      <c r="B362" s="112"/>
      <c r="C362" s="72"/>
      <c r="D362" s="72"/>
    </row>
    <row r="363" spans="1:4" x14ac:dyDescent="0.2">
      <c r="A363" s="111"/>
      <c r="B363" s="112"/>
      <c r="C363" s="72"/>
      <c r="D363" s="72"/>
    </row>
    <row r="364" spans="1:4" x14ac:dyDescent="0.2">
      <c r="A364" s="111"/>
      <c r="B364" s="112"/>
      <c r="C364" s="72"/>
      <c r="D364" s="72"/>
    </row>
    <row r="365" spans="1:4" x14ac:dyDescent="0.2">
      <c r="A365" s="111"/>
      <c r="B365" s="112"/>
      <c r="C365" s="72"/>
      <c r="D365" s="72"/>
    </row>
    <row r="366" spans="1:4" x14ac:dyDescent="0.2">
      <c r="A366" s="111"/>
      <c r="B366" s="112"/>
      <c r="C366" s="72"/>
      <c r="D366" s="72"/>
    </row>
    <row r="367" spans="1:4" x14ac:dyDescent="0.2">
      <c r="A367" s="111"/>
      <c r="B367" s="112"/>
      <c r="C367" s="72"/>
      <c r="D367" s="72"/>
    </row>
    <row r="368" spans="1:4" x14ac:dyDescent="0.2">
      <c r="A368" s="111"/>
      <c r="B368" s="112"/>
      <c r="C368" s="72"/>
      <c r="D368" s="72"/>
    </row>
    <row r="369" spans="1:4" x14ac:dyDescent="0.2">
      <c r="A369" s="111"/>
      <c r="B369" s="112"/>
      <c r="C369" s="72"/>
      <c r="D369" s="72"/>
    </row>
    <row r="370" spans="1:4" x14ac:dyDescent="0.2">
      <c r="A370" s="111"/>
      <c r="B370" s="112"/>
      <c r="C370" s="72"/>
      <c r="D370" s="72"/>
    </row>
    <row r="371" spans="1:4" x14ac:dyDescent="0.2">
      <c r="A371" s="111"/>
      <c r="B371" s="112"/>
      <c r="C371" s="72"/>
      <c r="D371" s="72"/>
    </row>
    <row r="372" spans="1:4" x14ac:dyDescent="0.2">
      <c r="A372" s="111"/>
      <c r="B372" s="112"/>
      <c r="C372" s="72"/>
      <c r="D372" s="72"/>
    </row>
    <row r="373" spans="1:4" x14ac:dyDescent="0.2">
      <c r="A373" s="111"/>
      <c r="B373" s="112"/>
      <c r="C373" s="72"/>
      <c r="D373" s="72"/>
    </row>
    <row r="374" spans="1:4" x14ac:dyDescent="0.2">
      <c r="A374" s="111"/>
      <c r="B374" s="112"/>
      <c r="C374" s="72"/>
      <c r="D374" s="72"/>
    </row>
    <row r="375" spans="1:4" x14ac:dyDescent="0.2">
      <c r="A375" s="111"/>
      <c r="B375" s="112"/>
      <c r="C375" s="72"/>
      <c r="D375" s="72"/>
    </row>
    <row r="376" spans="1:4" x14ac:dyDescent="0.2">
      <c r="A376" s="111"/>
      <c r="B376" s="112"/>
      <c r="C376" s="72"/>
      <c r="D376" s="72"/>
    </row>
    <row r="377" spans="1:4" x14ac:dyDescent="0.2">
      <c r="A377" s="111"/>
      <c r="B377" s="112"/>
      <c r="C377" s="72"/>
      <c r="D377" s="72"/>
    </row>
    <row r="378" spans="1:4" x14ac:dyDescent="0.2">
      <c r="A378" s="111"/>
      <c r="B378" s="112"/>
      <c r="C378" s="72"/>
      <c r="D378" s="72"/>
    </row>
    <row r="379" spans="1:4" x14ac:dyDescent="0.2">
      <c r="A379" s="111"/>
      <c r="B379" s="112"/>
      <c r="C379" s="72"/>
      <c r="D379" s="72"/>
    </row>
    <row r="380" spans="1:4" x14ac:dyDescent="0.2">
      <c r="A380" s="111"/>
      <c r="B380" s="112"/>
      <c r="C380" s="72"/>
      <c r="D380" s="72"/>
    </row>
    <row r="381" spans="1:4" x14ac:dyDescent="0.2">
      <c r="A381" s="111"/>
      <c r="B381" s="112"/>
      <c r="C381" s="72"/>
      <c r="D381" s="72"/>
    </row>
    <row r="382" spans="1:4" x14ac:dyDescent="0.2">
      <c r="A382" s="111"/>
      <c r="B382" s="112"/>
      <c r="C382" s="72"/>
      <c r="D382" s="72"/>
    </row>
    <row r="383" spans="1:4" x14ac:dyDescent="0.2">
      <c r="A383" s="111"/>
      <c r="B383" s="112"/>
      <c r="C383" s="72"/>
      <c r="D383" s="72"/>
    </row>
    <row r="384" spans="1:4" x14ac:dyDescent="0.2">
      <c r="A384" s="111"/>
      <c r="B384" s="112"/>
      <c r="C384" s="72"/>
      <c r="D384" s="72"/>
    </row>
    <row r="385" spans="1:4" x14ac:dyDescent="0.2">
      <c r="A385" s="111"/>
      <c r="B385" s="112"/>
      <c r="C385" s="72"/>
      <c r="D385" s="72"/>
    </row>
    <row r="386" spans="1:4" x14ac:dyDescent="0.2">
      <c r="A386" s="111"/>
      <c r="B386" s="112"/>
      <c r="C386" s="72"/>
      <c r="D386" s="72"/>
    </row>
    <row r="387" spans="1:4" x14ac:dyDescent="0.2">
      <c r="A387" s="111"/>
      <c r="B387" s="112"/>
      <c r="C387" s="72"/>
      <c r="D387" s="72"/>
    </row>
    <row r="388" spans="1:4" x14ac:dyDescent="0.2">
      <c r="A388" s="111"/>
      <c r="B388" s="112"/>
      <c r="C388" s="72"/>
      <c r="D388" s="72"/>
    </row>
    <row r="389" spans="1:4" x14ac:dyDescent="0.2">
      <c r="A389" s="111"/>
      <c r="B389" s="112"/>
      <c r="C389" s="72"/>
      <c r="D389" s="72"/>
    </row>
    <row r="390" spans="1:4" x14ac:dyDescent="0.2">
      <c r="A390" s="111"/>
      <c r="B390" s="112"/>
      <c r="C390" s="72"/>
      <c r="D390" s="72"/>
    </row>
    <row r="391" spans="1:4" x14ac:dyDescent="0.2">
      <c r="A391" s="111"/>
      <c r="B391" s="112"/>
      <c r="C391" s="72"/>
      <c r="D391" s="72"/>
    </row>
    <row r="392" spans="1:4" x14ac:dyDescent="0.2">
      <c r="A392" s="111"/>
      <c r="B392" s="112"/>
      <c r="C392" s="72"/>
      <c r="D392" s="72"/>
    </row>
    <row r="393" spans="1:4" x14ac:dyDescent="0.2">
      <c r="A393" s="111"/>
      <c r="B393" s="112"/>
      <c r="C393" s="72"/>
      <c r="D393" s="72"/>
    </row>
    <row r="394" spans="1:4" x14ac:dyDescent="0.2">
      <c r="A394" s="111"/>
      <c r="B394" s="112"/>
      <c r="C394" s="72"/>
      <c r="D394" s="72"/>
    </row>
    <row r="395" spans="1:4" x14ac:dyDescent="0.2">
      <c r="A395" s="111"/>
      <c r="B395" s="112"/>
      <c r="C395" s="72"/>
      <c r="D395" s="72"/>
    </row>
    <row r="396" spans="1:4" x14ac:dyDescent="0.2">
      <c r="A396" s="111"/>
      <c r="B396" s="112"/>
      <c r="C396" s="72"/>
      <c r="D396" s="72"/>
    </row>
    <row r="397" spans="1:4" x14ac:dyDescent="0.2">
      <c r="A397" s="111"/>
      <c r="B397" s="112"/>
      <c r="C397" s="72"/>
      <c r="D397" s="72"/>
    </row>
    <row r="398" spans="1:4" x14ac:dyDescent="0.2">
      <c r="A398" s="111"/>
      <c r="B398" s="112"/>
      <c r="C398" s="72"/>
      <c r="D398" s="72"/>
    </row>
    <row r="399" spans="1:4" x14ac:dyDescent="0.2">
      <c r="A399" s="111"/>
      <c r="B399" s="112"/>
      <c r="C399" s="72"/>
      <c r="D399" s="72"/>
    </row>
    <row r="400" spans="1:4" x14ac:dyDescent="0.2">
      <c r="A400" s="111"/>
      <c r="B400" s="112"/>
      <c r="C400" s="72"/>
      <c r="D400" s="72"/>
    </row>
    <row r="401" spans="1:4" x14ac:dyDescent="0.2">
      <c r="A401" s="111"/>
      <c r="B401" s="112"/>
      <c r="C401" s="72"/>
      <c r="D401" s="72"/>
    </row>
    <row r="402" spans="1:4" x14ac:dyDescent="0.2">
      <c r="A402" s="111"/>
      <c r="B402" s="112"/>
      <c r="C402" s="72"/>
      <c r="D402" s="72"/>
    </row>
    <row r="403" spans="1:4" x14ac:dyDescent="0.2">
      <c r="A403" s="111"/>
      <c r="B403" s="112"/>
      <c r="C403" s="72"/>
      <c r="D403" s="72"/>
    </row>
    <row r="404" spans="1:4" x14ac:dyDescent="0.2">
      <c r="A404" s="111"/>
      <c r="B404" s="112"/>
      <c r="C404" s="72"/>
      <c r="D404" s="72"/>
    </row>
    <row r="405" spans="1:4" x14ac:dyDescent="0.2">
      <c r="A405" s="111"/>
      <c r="B405" s="112"/>
      <c r="C405" s="72"/>
      <c r="D405" s="72"/>
    </row>
    <row r="406" spans="1:4" x14ac:dyDescent="0.2">
      <c r="A406" s="111"/>
      <c r="B406" s="112"/>
      <c r="C406" s="72"/>
      <c r="D406" s="72"/>
    </row>
    <row r="407" spans="1:4" x14ac:dyDescent="0.2">
      <c r="A407" s="111"/>
      <c r="B407" s="112"/>
      <c r="C407" s="72"/>
      <c r="D407" s="72"/>
    </row>
    <row r="408" spans="1:4" x14ac:dyDescent="0.2">
      <c r="A408" s="111"/>
      <c r="B408" s="112"/>
      <c r="C408" s="72"/>
      <c r="D408" s="72"/>
    </row>
    <row r="409" spans="1:4" x14ac:dyDescent="0.2">
      <c r="A409" s="111"/>
      <c r="B409" s="112"/>
      <c r="C409" s="72"/>
      <c r="D409" s="72"/>
    </row>
    <row r="410" spans="1:4" x14ac:dyDescent="0.2">
      <c r="A410" s="111"/>
      <c r="B410" s="112"/>
      <c r="C410" s="72"/>
      <c r="D410" s="72"/>
    </row>
    <row r="411" spans="1:4" x14ac:dyDescent="0.2">
      <c r="A411" s="111"/>
      <c r="B411" s="112"/>
      <c r="C411" s="72"/>
      <c r="D411" s="72"/>
    </row>
    <row r="412" spans="1:4" x14ac:dyDescent="0.2">
      <c r="A412" s="111"/>
      <c r="B412" s="112"/>
      <c r="C412" s="72"/>
      <c r="D412" s="72"/>
    </row>
    <row r="413" spans="1:4" x14ac:dyDescent="0.2">
      <c r="A413" s="111"/>
      <c r="B413" s="112"/>
      <c r="C413" s="72"/>
      <c r="D413" s="72"/>
    </row>
    <row r="414" spans="1:4" x14ac:dyDescent="0.2">
      <c r="A414" s="111"/>
      <c r="B414" s="112"/>
      <c r="C414" s="72"/>
      <c r="D414" s="72"/>
    </row>
    <row r="415" spans="1:4" x14ac:dyDescent="0.2">
      <c r="A415" s="111"/>
      <c r="B415" s="112"/>
      <c r="C415" s="72"/>
      <c r="D415" s="72"/>
    </row>
    <row r="416" spans="1:4" x14ac:dyDescent="0.2">
      <c r="A416" s="111"/>
      <c r="B416" s="112"/>
      <c r="C416" s="72"/>
      <c r="D416" s="72"/>
    </row>
    <row r="417" spans="1:4" x14ac:dyDescent="0.2">
      <c r="A417" s="111"/>
      <c r="B417" s="112"/>
      <c r="C417" s="72"/>
      <c r="D417" s="72"/>
    </row>
    <row r="418" spans="1:4" x14ac:dyDescent="0.2">
      <c r="A418" s="111"/>
      <c r="B418" s="112"/>
      <c r="C418" s="72"/>
      <c r="D418" s="72"/>
    </row>
    <row r="419" spans="1:4" x14ac:dyDescent="0.2">
      <c r="A419" s="111"/>
      <c r="B419" s="112"/>
      <c r="C419" s="72"/>
      <c r="D419" s="72"/>
    </row>
    <row r="420" spans="1:4" x14ac:dyDescent="0.2">
      <c r="A420" s="111"/>
      <c r="B420" s="112"/>
      <c r="C420" s="72"/>
      <c r="D420" s="72"/>
    </row>
    <row r="421" spans="1:4" x14ac:dyDescent="0.2">
      <c r="A421" s="111"/>
      <c r="B421" s="112"/>
      <c r="C421" s="72"/>
      <c r="D421" s="72"/>
    </row>
    <row r="422" spans="1:4" x14ac:dyDescent="0.2">
      <c r="A422" s="111"/>
      <c r="B422" s="112"/>
      <c r="C422" s="72"/>
      <c r="D422" s="72"/>
    </row>
    <row r="423" spans="1:4" x14ac:dyDescent="0.2">
      <c r="A423" s="111"/>
      <c r="B423" s="112"/>
      <c r="C423" s="72"/>
      <c r="D423" s="72"/>
    </row>
    <row r="424" spans="1:4" x14ac:dyDescent="0.2">
      <c r="A424" s="111"/>
      <c r="B424" s="112"/>
      <c r="C424" s="72"/>
      <c r="D424" s="72"/>
    </row>
    <row r="425" spans="1:4" x14ac:dyDescent="0.2">
      <c r="A425" s="111"/>
      <c r="B425" s="112"/>
      <c r="C425" s="72"/>
      <c r="D425" s="72"/>
    </row>
    <row r="426" spans="1:4" x14ac:dyDescent="0.2">
      <c r="A426" s="111"/>
      <c r="B426" s="112"/>
      <c r="C426" s="72"/>
      <c r="D426" s="72"/>
    </row>
    <row r="427" spans="1:4" x14ac:dyDescent="0.2">
      <c r="A427" s="111"/>
      <c r="B427" s="112"/>
      <c r="C427" s="72"/>
      <c r="D427" s="72"/>
    </row>
    <row r="428" spans="1:4" x14ac:dyDescent="0.2">
      <c r="A428" s="111"/>
      <c r="B428" s="112"/>
      <c r="C428" s="72"/>
      <c r="D428" s="72"/>
    </row>
    <row r="429" spans="1:4" x14ac:dyDescent="0.2">
      <c r="A429" s="111"/>
      <c r="B429" s="112"/>
      <c r="C429" s="72"/>
      <c r="D429" s="72"/>
    </row>
    <row r="430" spans="1:4" x14ac:dyDescent="0.2">
      <c r="A430" s="111"/>
      <c r="B430" s="112"/>
      <c r="C430" s="72"/>
      <c r="D430" s="72"/>
    </row>
    <row r="431" spans="1:4" x14ac:dyDescent="0.2">
      <c r="A431" s="111"/>
      <c r="B431" s="112"/>
      <c r="C431" s="72"/>
      <c r="D431" s="72"/>
    </row>
    <row r="432" spans="1:4" x14ac:dyDescent="0.2">
      <c r="A432" s="111"/>
      <c r="B432" s="112"/>
      <c r="C432" s="72"/>
      <c r="D432" s="72"/>
    </row>
    <row r="433" spans="1:4" x14ac:dyDescent="0.2">
      <c r="A433" s="111"/>
      <c r="B433" s="112"/>
      <c r="C433" s="72"/>
      <c r="D433" s="72"/>
    </row>
    <row r="434" spans="1:4" x14ac:dyDescent="0.2">
      <c r="A434" s="111"/>
      <c r="B434" s="112"/>
      <c r="C434" s="72"/>
      <c r="D434" s="72"/>
    </row>
    <row r="435" spans="1:4" x14ac:dyDescent="0.2">
      <c r="A435" s="111"/>
      <c r="B435" s="112"/>
      <c r="C435" s="72"/>
      <c r="D435" s="72"/>
    </row>
    <row r="436" spans="1:4" x14ac:dyDescent="0.2">
      <c r="A436" s="111"/>
      <c r="B436" s="112"/>
      <c r="C436" s="72"/>
      <c r="D436" s="72"/>
    </row>
    <row r="437" spans="1:4" x14ac:dyDescent="0.2">
      <c r="A437" s="111"/>
      <c r="B437" s="112"/>
      <c r="C437" s="72"/>
      <c r="D437" s="72"/>
    </row>
    <row r="438" spans="1:4" x14ac:dyDescent="0.2">
      <c r="A438" s="111"/>
      <c r="B438" s="112"/>
      <c r="C438" s="72"/>
      <c r="D438" s="72"/>
    </row>
    <row r="439" spans="1:4" x14ac:dyDescent="0.2">
      <c r="A439" s="111"/>
      <c r="B439" s="112"/>
      <c r="C439" s="72"/>
      <c r="D439" s="72"/>
    </row>
    <row r="440" spans="1:4" x14ac:dyDescent="0.2">
      <c r="A440" s="111"/>
      <c r="B440" s="112"/>
      <c r="C440" s="72"/>
      <c r="D440" s="72"/>
    </row>
    <row r="441" spans="1:4" x14ac:dyDescent="0.2">
      <c r="A441" s="111"/>
      <c r="B441" s="112"/>
      <c r="C441" s="72"/>
      <c r="D441" s="72"/>
    </row>
    <row r="442" spans="1:4" x14ac:dyDescent="0.2">
      <c r="A442" s="111"/>
      <c r="B442" s="112"/>
      <c r="C442" s="72"/>
      <c r="D442" s="72"/>
    </row>
    <row r="443" spans="1:4" x14ac:dyDescent="0.2">
      <c r="A443" s="111"/>
      <c r="B443" s="112"/>
      <c r="C443" s="72"/>
      <c r="D443" s="72"/>
    </row>
    <row r="444" spans="1:4" x14ac:dyDescent="0.2">
      <c r="A444" s="111"/>
      <c r="B444" s="112"/>
      <c r="C444" s="72"/>
      <c r="D444" s="72"/>
    </row>
    <row r="445" spans="1:4" x14ac:dyDescent="0.2">
      <c r="A445" s="111"/>
      <c r="B445" s="112"/>
      <c r="C445" s="72"/>
      <c r="D445" s="72"/>
    </row>
    <row r="446" spans="1:4" x14ac:dyDescent="0.2">
      <c r="A446" s="111"/>
      <c r="B446" s="112"/>
      <c r="C446" s="72"/>
      <c r="D446" s="72"/>
    </row>
    <row r="447" spans="1:4" x14ac:dyDescent="0.2">
      <c r="A447" s="111"/>
      <c r="B447" s="112"/>
      <c r="C447" s="72"/>
      <c r="D447" s="72"/>
    </row>
    <row r="448" spans="1:4" x14ac:dyDescent="0.2">
      <c r="A448" s="111"/>
      <c r="B448" s="112"/>
      <c r="C448" s="72"/>
      <c r="D448" s="72"/>
    </row>
    <row r="449" spans="1:4" x14ac:dyDescent="0.2">
      <c r="A449" s="111"/>
      <c r="B449" s="112"/>
      <c r="C449" s="72"/>
      <c r="D449" s="72"/>
    </row>
    <row r="450" spans="1:4" x14ac:dyDescent="0.2">
      <c r="A450" s="111"/>
      <c r="B450" s="112"/>
      <c r="C450" s="72"/>
      <c r="D450" s="72"/>
    </row>
    <row r="451" spans="1:4" x14ac:dyDescent="0.2">
      <c r="A451" s="111"/>
      <c r="B451" s="112"/>
      <c r="C451" s="72"/>
      <c r="D451" s="72"/>
    </row>
    <row r="452" spans="1:4" x14ac:dyDescent="0.2">
      <c r="A452" s="111"/>
      <c r="B452" s="112"/>
      <c r="C452" s="72"/>
      <c r="D452" s="72"/>
    </row>
    <row r="453" spans="1:4" x14ac:dyDescent="0.2">
      <c r="A453" s="111"/>
      <c r="B453" s="112"/>
      <c r="C453" s="72"/>
      <c r="D453" s="72"/>
    </row>
    <row r="454" spans="1:4" x14ac:dyDescent="0.2">
      <c r="A454" s="111"/>
      <c r="B454" s="112"/>
      <c r="C454" s="72"/>
      <c r="D454" s="72"/>
    </row>
    <row r="455" spans="1:4" x14ac:dyDescent="0.2">
      <c r="A455" s="111"/>
      <c r="B455" s="112"/>
      <c r="C455" s="72"/>
      <c r="D455" s="72"/>
    </row>
    <row r="456" spans="1:4" x14ac:dyDescent="0.2">
      <c r="A456" s="111"/>
      <c r="B456" s="112"/>
      <c r="C456" s="72"/>
      <c r="D456" s="72"/>
    </row>
    <row r="457" spans="1:4" x14ac:dyDescent="0.2">
      <c r="A457" s="111"/>
      <c r="B457" s="112"/>
      <c r="C457" s="72"/>
      <c r="D457" s="72"/>
    </row>
    <row r="458" spans="1:4" x14ac:dyDescent="0.2">
      <c r="A458" s="111"/>
      <c r="B458" s="112"/>
      <c r="C458" s="72"/>
      <c r="D458" s="72"/>
    </row>
    <row r="459" spans="1:4" x14ac:dyDescent="0.2">
      <c r="A459" s="111"/>
      <c r="B459" s="112"/>
      <c r="C459" s="72"/>
      <c r="D459" s="72"/>
    </row>
    <row r="460" spans="1:4" x14ac:dyDescent="0.2">
      <c r="A460" s="111"/>
      <c r="B460" s="112"/>
      <c r="C460" s="72"/>
      <c r="D460" s="72"/>
    </row>
    <row r="461" spans="1:4" x14ac:dyDescent="0.2">
      <c r="A461" s="111"/>
      <c r="B461" s="112"/>
      <c r="C461" s="72"/>
      <c r="D461" s="72"/>
    </row>
    <row r="462" spans="1:4" x14ac:dyDescent="0.2">
      <c r="A462" s="111"/>
      <c r="B462" s="112"/>
      <c r="C462" s="72"/>
      <c r="D462" s="72"/>
    </row>
    <row r="463" spans="1:4" x14ac:dyDescent="0.2">
      <c r="A463" s="111"/>
      <c r="B463" s="112"/>
      <c r="C463" s="72"/>
      <c r="D463" s="72"/>
    </row>
    <row r="464" spans="1:4" x14ac:dyDescent="0.2">
      <c r="A464" s="111"/>
      <c r="B464" s="112"/>
      <c r="C464" s="72"/>
      <c r="D464" s="72"/>
    </row>
    <row r="465" spans="1:4" x14ac:dyDescent="0.2">
      <c r="A465" s="111"/>
      <c r="B465" s="112"/>
      <c r="C465" s="72"/>
      <c r="D465" s="72"/>
    </row>
    <row r="466" spans="1:4" x14ac:dyDescent="0.2">
      <c r="A466" s="111"/>
      <c r="B466" s="112"/>
      <c r="C466" s="72"/>
      <c r="D466" s="72"/>
    </row>
    <row r="467" spans="1:4" x14ac:dyDescent="0.2">
      <c r="A467" s="111"/>
      <c r="B467" s="112"/>
      <c r="C467" s="72"/>
      <c r="D467" s="72"/>
    </row>
    <row r="468" spans="1:4" x14ac:dyDescent="0.2">
      <c r="A468" s="111"/>
      <c r="B468" s="112"/>
      <c r="C468" s="72"/>
      <c r="D468" s="72"/>
    </row>
    <row r="469" spans="1:4" x14ac:dyDescent="0.2">
      <c r="A469" s="111"/>
      <c r="B469" s="112"/>
      <c r="C469" s="72"/>
      <c r="D469" s="72"/>
    </row>
    <row r="470" spans="1:4" x14ac:dyDescent="0.2">
      <c r="A470" s="111"/>
      <c r="B470" s="112"/>
      <c r="C470" s="72"/>
      <c r="D470" s="72"/>
    </row>
    <row r="471" spans="1:4" x14ac:dyDescent="0.2">
      <c r="A471" s="111"/>
      <c r="B471" s="112"/>
      <c r="C471" s="72"/>
      <c r="D471" s="72"/>
    </row>
    <row r="472" spans="1:4" x14ac:dyDescent="0.2">
      <c r="A472" s="111"/>
      <c r="B472" s="112"/>
      <c r="C472" s="72"/>
      <c r="D472" s="72"/>
    </row>
    <row r="473" spans="1:4" x14ac:dyDescent="0.2">
      <c r="A473" s="111"/>
      <c r="B473" s="112"/>
      <c r="C473" s="72"/>
      <c r="D473" s="72"/>
    </row>
    <row r="474" spans="1:4" x14ac:dyDescent="0.2">
      <c r="A474" s="111"/>
      <c r="B474" s="112"/>
      <c r="C474" s="72"/>
      <c r="D474" s="72"/>
    </row>
    <row r="475" spans="1:4" x14ac:dyDescent="0.2">
      <c r="A475" s="111"/>
      <c r="B475" s="112"/>
      <c r="C475" s="72"/>
      <c r="D475" s="72"/>
    </row>
    <row r="476" spans="1:4" x14ac:dyDescent="0.2">
      <c r="A476" s="111"/>
      <c r="B476" s="112"/>
      <c r="C476" s="72"/>
      <c r="D476" s="72"/>
    </row>
    <row r="477" spans="1:4" x14ac:dyDescent="0.2">
      <c r="A477" s="111"/>
      <c r="B477" s="112"/>
      <c r="C477" s="72"/>
      <c r="D477" s="72"/>
    </row>
    <row r="478" spans="1:4" x14ac:dyDescent="0.2">
      <c r="A478" s="111"/>
      <c r="B478" s="112"/>
      <c r="C478" s="72"/>
      <c r="D478" s="72"/>
    </row>
    <row r="479" spans="1:4" x14ac:dyDescent="0.2">
      <c r="A479" s="111"/>
      <c r="B479" s="112"/>
      <c r="C479" s="72"/>
      <c r="D479" s="72"/>
    </row>
    <row r="480" spans="1:4" x14ac:dyDescent="0.2">
      <c r="A480" s="111"/>
      <c r="B480" s="112"/>
      <c r="C480" s="72"/>
      <c r="D480" s="72"/>
    </row>
    <row r="481" spans="1:4" x14ac:dyDescent="0.2">
      <c r="A481" s="111"/>
      <c r="B481" s="112"/>
      <c r="C481" s="72"/>
      <c r="D481" s="72"/>
    </row>
    <row r="482" spans="1:4" x14ac:dyDescent="0.2">
      <c r="A482" s="111"/>
      <c r="B482" s="112"/>
      <c r="C482" s="72"/>
      <c r="D482" s="72"/>
    </row>
    <row r="483" spans="1:4" x14ac:dyDescent="0.2">
      <c r="A483" s="111"/>
      <c r="B483" s="112"/>
      <c r="C483" s="72"/>
      <c r="D483" s="72"/>
    </row>
    <row r="484" spans="1:4" x14ac:dyDescent="0.2">
      <c r="A484" s="111"/>
      <c r="B484" s="112"/>
      <c r="C484" s="72"/>
      <c r="D484" s="72"/>
    </row>
    <row r="485" spans="1:4" x14ac:dyDescent="0.2">
      <c r="A485" s="111"/>
      <c r="B485" s="112"/>
      <c r="C485" s="72"/>
      <c r="D485" s="72"/>
    </row>
    <row r="486" spans="1:4" x14ac:dyDescent="0.2">
      <c r="A486" s="111"/>
      <c r="B486" s="112"/>
      <c r="C486" s="72"/>
      <c r="D486" s="72"/>
    </row>
    <row r="487" spans="1:4" x14ac:dyDescent="0.2">
      <c r="A487" s="111"/>
      <c r="B487" s="112"/>
      <c r="C487" s="72"/>
      <c r="D487" s="72"/>
    </row>
    <row r="488" spans="1:4" x14ac:dyDescent="0.2">
      <c r="A488" s="111"/>
      <c r="B488" s="112"/>
      <c r="C488" s="72"/>
      <c r="D488" s="72"/>
    </row>
    <row r="489" spans="1:4" x14ac:dyDescent="0.2">
      <c r="A489" s="111"/>
      <c r="B489" s="112"/>
      <c r="C489" s="72"/>
      <c r="D489" s="72"/>
    </row>
    <row r="490" spans="1:4" x14ac:dyDescent="0.2">
      <c r="A490" s="111"/>
      <c r="B490" s="112"/>
      <c r="C490" s="72"/>
      <c r="D490" s="72"/>
    </row>
    <row r="491" spans="1:4" x14ac:dyDescent="0.2">
      <c r="A491" s="111"/>
      <c r="B491" s="112"/>
      <c r="C491" s="72"/>
      <c r="D491" s="72"/>
    </row>
    <row r="492" spans="1:4" x14ac:dyDescent="0.2">
      <c r="A492" s="111"/>
      <c r="B492" s="112"/>
      <c r="C492" s="72"/>
      <c r="D492" s="72"/>
    </row>
    <row r="493" spans="1:4" x14ac:dyDescent="0.2">
      <c r="A493" s="111"/>
      <c r="B493" s="112"/>
      <c r="C493" s="72"/>
      <c r="D493" s="72"/>
    </row>
    <row r="494" spans="1:4" x14ac:dyDescent="0.2">
      <c r="A494" s="111"/>
      <c r="B494" s="112"/>
      <c r="C494" s="72"/>
      <c r="D494" s="72"/>
    </row>
    <row r="495" spans="1:4" x14ac:dyDescent="0.2">
      <c r="A495" s="111"/>
      <c r="B495" s="112"/>
      <c r="C495" s="72"/>
      <c r="D495" s="72"/>
    </row>
    <row r="496" spans="1:4" x14ac:dyDescent="0.2">
      <c r="A496" s="111"/>
      <c r="B496" s="112"/>
      <c r="C496" s="72"/>
      <c r="D496" s="72"/>
    </row>
    <row r="497" spans="1:4" x14ac:dyDescent="0.2">
      <c r="A497" s="111"/>
      <c r="B497" s="112"/>
      <c r="C497" s="72"/>
      <c r="D497" s="72"/>
    </row>
    <row r="498" spans="1:4" x14ac:dyDescent="0.2">
      <c r="A498" s="111"/>
      <c r="B498" s="112"/>
      <c r="C498" s="72"/>
      <c r="D498" s="72"/>
    </row>
    <row r="499" spans="1:4" x14ac:dyDescent="0.2">
      <c r="A499" s="111"/>
      <c r="B499" s="112"/>
      <c r="C499" s="72"/>
      <c r="D499" s="72"/>
    </row>
    <row r="500" spans="1:4" x14ac:dyDescent="0.2">
      <c r="A500" s="111"/>
      <c r="B500" s="112"/>
      <c r="C500" s="72"/>
      <c r="D500" s="72"/>
    </row>
    <row r="501" spans="1:4" x14ac:dyDescent="0.2">
      <c r="A501" s="111"/>
      <c r="B501" s="112"/>
      <c r="C501" s="72"/>
      <c r="D501" s="72"/>
    </row>
    <row r="502" spans="1:4" x14ac:dyDescent="0.2">
      <c r="A502" s="111"/>
      <c r="B502" s="112"/>
      <c r="C502" s="72"/>
      <c r="D502" s="72"/>
    </row>
    <row r="503" spans="1:4" x14ac:dyDescent="0.2">
      <c r="A503" s="111"/>
      <c r="B503" s="112"/>
      <c r="C503" s="72"/>
      <c r="D503" s="72"/>
    </row>
    <row r="504" spans="1:4" x14ac:dyDescent="0.2">
      <c r="A504" s="111"/>
      <c r="B504" s="112"/>
      <c r="C504" s="72"/>
      <c r="D504" s="72"/>
    </row>
    <row r="505" spans="1:4" x14ac:dyDescent="0.2">
      <c r="A505" s="111"/>
      <c r="B505" s="112"/>
      <c r="C505" s="72"/>
      <c r="D505" s="72"/>
    </row>
    <row r="506" spans="1:4" x14ac:dyDescent="0.2">
      <c r="A506" s="111"/>
      <c r="B506" s="112"/>
      <c r="C506" s="72"/>
      <c r="D506" s="72"/>
    </row>
    <row r="507" spans="1:4" x14ac:dyDescent="0.2">
      <c r="A507" s="111"/>
      <c r="B507" s="112"/>
      <c r="C507" s="72"/>
      <c r="D507" s="72"/>
    </row>
    <row r="508" spans="1:4" x14ac:dyDescent="0.2">
      <c r="A508" s="111"/>
      <c r="B508" s="112"/>
      <c r="C508" s="72"/>
      <c r="D508" s="72"/>
    </row>
    <row r="509" spans="1:4" x14ac:dyDescent="0.2">
      <c r="A509" s="111"/>
      <c r="B509" s="112"/>
      <c r="C509" s="72"/>
      <c r="D509" s="72"/>
    </row>
    <row r="510" spans="1:4" x14ac:dyDescent="0.2">
      <c r="A510" s="111"/>
      <c r="B510" s="112"/>
      <c r="C510" s="72"/>
      <c r="D510" s="72"/>
    </row>
    <row r="511" spans="1:4" x14ac:dyDescent="0.2">
      <c r="A511" s="111"/>
      <c r="B511" s="112"/>
      <c r="C511" s="72"/>
      <c r="D511" s="72"/>
    </row>
    <row r="512" spans="1:4" x14ac:dyDescent="0.2">
      <c r="A512" s="111"/>
      <c r="B512" s="112"/>
      <c r="C512" s="72"/>
      <c r="D512" s="72"/>
    </row>
    <row r="513" spans="1:4" x14ac:dyDescent="0.2">
      <c r="A513" s="111"/>
      <c r="B513" s="112"/>
      <c r="C513" s="72"/>
      <c r="D513" s="72"/>
    </row>
    <row r="514" spans="1:4" x14ac:dyDescent="0.2">
      <c r="A514" s="111"/>
      <c r="B514" s="112"/>
      <c r="C514" s="72"/>
      <c r="D514" s="72"/>
    </row>
    <row r="515" spans="1:4" x14ac:dyDescent="0.2">
      <c r="A515" s="111"/>
      <c r="B515" s="112"/>
      <c r="C515" s="72"/>
      <c r="D515" s="72"/>
    </row>
    <row r="516" spans="1:4" x14ac:dyDescent="0.2">
      <c r="A516" s="111"/>
      <c r="B516" s="112"/>
      <c r="C516" s="72"/>
      <c r="D516" s="72"/>
    </row>
    <row r="517" spans="1:4" x14ac:dyDescent="0.2">
      <c r="A517" s="111"/>
      <c r="B517" s="112"/>
      <c r="C517" s="72"/>
      <c r="D517" s="72"/>
    </row>
    <row r="518" spans="1:4" x14ac:dyDescent="0.2">
      <c r="A518" s="111"/>
      <c r="B518" s="112"/>
      <c r="C518" s="72"/>
      <c r="D518" s="72"/>
    </row>
    <row r="519" spans="1:4" x14ac:dyDescent="0.2">
      <c r="A519" s="111"/>
      <c r="B519" s="112"/>
      <c r="C519" s="72"/>
      <c r="D519" s="72"/>
    </row>
    <row r="520" spans="1:4" x14ac:dyDescent="0.2">
      <c r="A520" s="111"/>
      <c r="B520" s="112"/>
      <c r="C520" s="72"/>
      <c r="D520" s="72"/>
    </row>
    <row r="521" spans="1:4" x14ac:dyDescent="0.2">
      <c r="A521" s="111"/>
      <c r="B521" s="112"/>
      <c r="C521" s="72"/>
      <c r="D521" s="72"/>
    </row>
    <row r="522" spans="1:4" x14ac:dyDescent="0.2">
      <c r="A522" s="111"/>
      <c r="B522" s="112"/>
      <c r="C522" s="72"/>
      <c r="D522" s="72"/>
    </row>
    <row r="523" spans="1:4" x14ac:dyDescent="0.2">
      <c r="A523" s="111"/>
      <c r="B523" s="112"/>
      <c r="C523" s="72"/>
      <c r="D523" s="72"/>
    </row>
    <row r="524" spans="1:4" x14ac:dyDescent="0.2">
      <c r="A524" s="111"/>
      <c r="B524" s="112"/>
      <c r="C524" s="72"/>
      <c r="D524" s="72"/>
    </row>
    <row r="525" spans="1:4" x14ac:dyDescent="0.2">
      <c r="A525" s="111"/>
      <c r="B525" s="112"/>
      <c r="C525" s="72"/>
      <c r="D525" s="72"/>
    </row>
    <row r="526" spans="1:4" x14ac:dyDescent="0.2">
      <c r="A526" s="111"/>
      <c r="B526" s="112"/>
      <c r="C526" s="72"/>
      <c r="D526" s="72"/>
    </row>
    <row r="527" spans="1:4" x14ac:dyDescent="0.2">
      <c r="A527" s="111"/>
      <c r="B527" s="112"/>
      <c r="C527" s="72"/>
      <c r="D527" s="72"/>
    </row>
    <row r="528" spans="1:4" x14ac:dyDescent="0.2">
      <c r="A528" s="111"/>
      <c r="B528" s="112"/>
      <c r="C528" s="72"/>
      <c r="D528" s="72"/>
    </row>
    <row r="529" spans="1:4" x14ac:dyDescent="0.2">
      <c r="A529" s="111"/>
      <c r="B529" s="112"/>
      <c r="C529" s="72"/>
      <c r="D529" s="72"/>
    </row>
    <row r="530" spans="1:4" x14ac:dyDescent="0.2">
      <c r="A530" s="111"/>
      <c r="B530" s="112"/>
      <c r="C530" s="72"/>
      <c r="D530" s="72"/>
    </row>
    <row r="531" spans="1:4" x14ac:dyDescent="0.2">
      <c r="A531" s="111"/>
      <c r="B531" s="112"/>
      <c r="C531" s="72"/>
      <c r="D531" s="72"/>
    </row>
    <row r="532" spans="1:4" x14ac:dyDescent="0.2">
      <c r="A532" s="111"/>
      <c r="B532" s="112"/>
      <c r="C532" s="72"/>
      <c r="D532" s="72"/>
    </row>
    <row r="533" spans="1:4" x14ac:dyDescent="0.2">
      <c r="A533" s="111"/>
      <c r="B533" s="112"/>
      <c r="C533" s="72"/>
      <c r="D533" s="72"/>
    </row>
    <row r="534" spans="1:4" x14ac:dyDescent="0.2">
      <c r="A534" s="111"/>
      <c r="B534" s="112"/>
      <c r="C534" s="72"/>
      <c r="D534" s="72"/>
    </row>
    <row r="535" spans="1:4" x14ac:dyDescent="0.2">
      <c r="A535" s="111"/>
      <c r="B535" s="112"/>
      <c r="C535" s="72"/>
      <c r="D535" s="72"/>
    </row>
    <row r="536" spans="1:4" x14ac:dyDescent="0.2">
      <c r="A536" s="111"/>
      <c r="B536" s="112"/>
      <c r="C536" s="72"/>
      <c r="D536" s="72"/>
    </row>
    <row r="537" spans="1:4" x14ac:dyDescent="0.2">
      <c r="A537" s="111"/>
      <c r="B537" s="112"/>
      <c r="C537" s="72"/>
      <c r="D537" s="72"/>
    </row>
    <row r="538" spans="1:4" x14ac:dyDescent="0.2">
      <c r="A538" s="111"/>
      <c r="B538" s="112"/>
      <c r="C538" s="72"/>
      <c r="D538" s="72"/>
    </row>
    <row r="539" spans="1:4" x14ac:dyDescent="0.2">
      <c r="A539" s="111"/>
      <c r="B539" s="112"/>
      <c r="C539" s="72"/>
      <c r="D539" s="72"/>
    </row>
    <row r="540" spans="1:4" x14ac:dyDescent="0.2">
      <c r="A540" s="111"/>
      <c r="B540" s="112"/>
      <c r="C540" s="72"/>
      <c r="D540" s="72"/>
    </row>
    <row r="541" spans="1:4" x14ac:dyDescent="0.2">
      <c r="A541" s="111"/>
      <c r="B541" s="112"/>
      <c r="C541" s="72"/>
      <c r="D541" s="72"/>
    </row>
    <row r="542" spans="1:4" x14ac:dyDescent="0.2">
      <c r="A542" s="111"/>
      <c r="B542" s="112"/>
      <c r="C542" s="72"/>
      <c r="D542" s="72"/>
    </row>
    <row r="543" spans="1:4" x14ac:dyDescent="0.2">
      <c r="A543" s="111"/>
      <c r="B543" s="112"/>
      <c r="C543" s="72"/>
      <c r="D543" s="72"/>
    </row>
    <row r="544" spans="1:4" x14ac:dyDescent="0.2">
      <c r="A544" s="111"/>
      <c r="B544" s="112"/>
      <c r="C544" s="72"/>
      <c r="D544" s="72"/>
    </row>
    <row r="545" spans="1:4" x14ac:dyDescent="0.2">
      <c r="A545" s="111"/>
      <c r="B545" s="112"/>
      <c r="C545" s="72"/>
      <c r="D545" s="72"/>
    </row>
    <row r="546" spans="1:4" x14ac:dyDescent="0.2">
      <c r="A546" s="111"/>
      <c r="B546" s="112"/>
      <c r="C546" s="72"/>
      <c r="D546" s="72"/>
    </row>
    <row r="547" spans="1:4" x14ac:dyDescent="0.2">
      <c r="A547" s="111"/>
      <c r="B547" s="112"/>
      <c r="C547" s="72"/>
      <c r="D547" s="72"/>
    </row>
    <row r="548" spans="1:4" x14ac:dyDescent="0.2">
      <c r="A548" s="111"/>
      <c r="B548" s="112"/>
      <c r="C548" s="72"/>
      <c r="D548" s="72"/>
    </row>
    <row r="549" spans="1:4" x14ac:dyDescent="0.2">
      <c r="A549" s="111"/>
      <c r="B549" s="112"/>
      <c r="C549" s="72"/>
      <c r="D549" s="72"/>
    </row>
    <row r="550" spans="1:4" x14ac:dyDescent="0.2">
      <c r="A550" s="111"/>
      <c r="B550" s="112"/>
      <c r="C550" s="72"/>
      <c r="D550" s="72"/>
    </row>
    <row r="551" spans="1:4" x14ac:dyDescent="0.2">
      <c r="A551" s="111"/>
      <c r="B551" s="112"/>
      <c r="C551" s="72"/>
      <c r="D551" s="72"/>
    </row>
    <row r="552" spans="1:4" x14ac:dyDescent="0.2">
      <c r="A552" s="111"/>
      <c r="B552" s="112"/>
      <c r="C552" s="72"/>
      <c r="D552" s="72"/>
    </row>
    <row r="553" spans="1:4" x14ac:dyDescent="0.2">
      <c r="A553" s="111"/>
      <c r="B553" s="112"/>
      <c r="C553" s="72"/>
      <c r="D553" s="72"/>
    </row>
    <row r="554" spans="1:4" x14ac:dyDescent="0.2">
      <c r="A554" s="111"/>
      <c r="B554" s="112"/>
      <c r="C554" s="72"/>
      <c r="D554" s="72"/>
    </row>
    <row r="555" spans="1:4" x14ac:dyDescent="0.2">
      <c r="A555" s="111"/>
      <c r="B555" s="112"/>
      <c r="C555" s="72"/>
      <c r="D555" s="72"/>
    </row>
    <row r="556" spans="1:4" x14ac:dyDescent="0.2">
      <c r="A556" s="111"/>
      <c r="B556" s="112"/>
      <c r="C556" s="72"/>
      <c r="D556" s="72"/>
    </row>
    <row r="557" spans="1:4" x14ac:dyDescent="0.2">
      <c r="A557" s="111"/>
      <c r="B557" s="112"/>
      <c r="C557" s="72"/>
      <c r="D557" s="72"/>
    </row>
    <row r="558" spans="1:4" x14ac:dyDescent="0.2">
      <c r="A558" s="111"/>
      <c r="B558" s="112"/>
      <c r="C558" s="72"/>
      <c r="D558" s="72"/>
    </row>
    <row r="559" spans="1:4" x14ac:dyDescent="0.2">
      <c r="A559" s="111"/>
      <c r="B559" s="112"/>
      <c r="C559" s="72"/>
      <c r="D559" s="72"/>
    </row>
    <row r="560" spans="1:4" x14ac:dyDescent="0.2">
      <c r="A560" s="111"/>
      <c r="B560" s="112"/>
      <c r="C560" s="72"/>
      <c r="D560" s="72"/>
    </row>
    <row r="561" spans="1:4" x14ac:dyDescent="0.2">
      <c r="A561" s="111"/>
      <c r="B561" s="112"/>
      <c r="C561" s="72"/>
      <c r="D561" s="72"/>
    </row>
    <row r="562" spans="1:4" x14ac:dyDescent="0.2">
      <c r="A562" s="111"/>
      <c r="B562" s="112"/>
      <c r="C562" s="72"/>
      <c r="D562" s="72"/>
    </row>
    <row r="563" spans="1:4" x14ac:dyDescent="0.2">
      <c r="A563" s="111"/>
      <c r="B563" s="112"/>
      <c r="C563" s="72"/>
      <c r="D563" s="72"/>
    </row>
    <row r="564" spans="1:4" x14ac:dyDescent="0.2">
      <c r="A564" s="111"/>
      <c r="B564" s="112"/>
      <c r="C564" s="72"/>
      <c r="D564" s="72"/>
    </row>
    <row r="565" spans="1:4" x14ac:dyDescent="0.2">
      <c r="A565" s="111"/>
      <c r="B565" s="112"/>
      <c r="C565" s="72"/>
      <c r="D565" s="72"/>
    </row>
    <row r="566" spans="1:4" x14ac:dyDescent="0.2">
      <c r="A566" s="111"/>
      <c r="B566" s="112"/>
      <c r="C566" s="72"/>
      <c r="D566" s="72"/>
    </row>
    <row r="567" spans="1:4" x14ac:dyDescent="0.2">
      <c r="A567" s="111"/>
      <c r="B567" s="112"/>
      <c r="C567" s="72"/>
      <c r="D567" s="72"/>
    </row>
    <row r="568" spans="1:4" x14ac:dyDescent="0.2">
      <c r="A568" s="111"/>
      <c r="B568" s="112"/>
      <c r="C568" s="72"/>
      <c r="D568" s="72"/>
    </row>
    <row r="569" spans="1:4" x14ac:dyDescent="0.2">
      <c r="A569" s="111"/>
      <c r="B569" s="112"/>
      <c r="C569" s="72"/>
      <c r="D569" s="72"/>
    </row>
    <row r="570" spans="1:4" x14ac:dyDescent="0.2">
      <c r="A570" s="111"/>
      <c r="B570" s="112"/>
      <c r="C570" s="72"/>
      <c r="D570" s="72"/>
    </row>
    <row r="571" spans="1:4" x14ac:dyDescent="0.2">
      <c r="A571" s="111"/>
      <c r="B571" s="112"/>
      <c r="C571" s="72"/>
      <c r="D571" s="72"/>
    </row>
    <row r="572" spans="1:4" x14ac:dyDescent="0.2">
      <c r="A572" s="111"/>
      <c r="B572" s="112"/>
      <c r="C572" s="72"/>
      <c r="D572" s="72"/>
    </row>
    <row r="573" spans="1:4" x14ac:dyDescent="0.2">
      <c r="A573" s="111"/>
      <c r="B573" s="112"/>
      <c r="C573" s="72"/>
      <c r="D573" s="72"/>
    </row>
    <row r="574" spans="1:4" x14ac:dyDescent="0.2">
      <c r="A574" s="111"/>
      <c r="B574" s="112"/>
      <c r="C574" s="72"/>
      <c r="D574" s="72"/>
    </row>
    <row r="575" spans="1:4" x14ac:dyDescent="0.2">
      <c r="A575" s="111"/>
      <c r="B575" s="112"/>
      <c r="C575" s="72"/>
      <c r="D575" s="72"/>
    </row>
    <row r="576" spans="1:4" x14ac:dyDescent="0.2">
      <c r="A576" s="111"/>
      <c r="B576" s="112"/>
      <c r="C576" s="72"/>
      <c r="D576" s="72"/>
    </row>
    <row r="577" spans="1:4" x14ac:dyDescent="0.2">
      <c r="A577" s="111"/>
      <c r="B577" s="112"/>
      <c r="C577" s="72"/>
      <c r="D577" s="72"/>
    </row>
    <row r="578" spans="1:4" x14ac:dyDescent="0.2">
      <c r="A578" s="111"/>
      <c r="B578" s="112"/>
      <c r="C578" s="72"/>
      <c r="D578" s="72"/>
    </row>
    <row r="579" spans="1:4" x14ac:dyDescent="0.2">
      <c r="A579" s="111"/>
      <c r="B579" s="112"/>
      <c r="C579" s="72"/>
      <c r="D579" s="72"/>
    </row>
    <row r="580" spans="1:4" x14ac:dyDescent="0.2">
      <c r="A580" s="111"/>
      <c r="B580" s="112"/>
      <c r="C580" s="72"/>
      <c r="D580" s="72"/>
    </row>
    <row r="581" spans="1:4" x14ac:dyDescent="0.2">
      <c r="A581" s="111"/>
      <c r="B581" s="112"/>
      <c r="C581" s="72"/>
      <c r="D581" s="72"/>
    </row>
    <row r="582" spans="1:4" x14ac:dyDescent="0.2">
      <c r="A582" s="111"/>
      <c r="B582" s="112"/>
      <c r="C582" s="72"/>
      <c r="D582" s="72"/>
    </row>
    <row r="583" spans="1:4" x14ac:dyDescent="0.2">
      <c r="A583" s="111"/>
      <c r="B583" s="112"/>
      <c r="C583" s="72"/>
      <c r="D583" s="72"/>
    </row>
    <row r="584" spans="1:4" x14ac:dyDescent="0.2">
      <c r="A584" s="111"/>
      <c r="B584" s="112"/>
      <c r="C584" s="72"/>
      <c r="D584" s="72"/>
    </row>
    <row r="585" spans="1:4" x14ac:dyDescent="0.2">
      <c r="A585" s="111"/>
      <c r="B585" s="112"/>
      <c r="C585" s="72"/>
      <c r="D585" s="72"/>
    </row>
    <row r="586" spans="1:4" x14ac:dyDescent="0.2">
      <c r="A586" s="111"/>
      <c r="B586" s="112"/>
      <c r="C586" s="72"/>
      <c r="D586" s="72"/>
    </row>
    <row r="587" spans="1:4" x14ac:dyDescent="0.2">
      <c r="A587" s="111"/>
      <c r="B587" s="112"/>
      <c r="C587" s="72"/>
      <c r="D587" s="72"/>
    </row>
    <row r="588" spans="1:4" x14ac:dyDescent="0.2">
      <c r="A588" s="111"/>
      <c r="B588" s="112"/>
      <c r="C588" s="72"/>
      <c r="D588" s="72"/>
    </row>
    <row r="589" spans="1:4" x14ac:dyDescent="0.2">
      <c r="A589" s="111"/>
      <c r="B589" s="112"/>
      <c r="C589" s="72"/>
      <c r="D589" s="72"/>
    </row>
    <row r="590" spans="1:4" x14ac:dyDescent="0.2">
      <c r="A590" s="111"/>
      <c r="B590" s="112"/>
      <c r="C590" s="72"/>
      <c r="D590" s="72"/>
    </row>
    <row r="591" spans="1:4" x14ac:dyDescent="0.2">
      <c r="A591" s="111"/>
      <c r="B591" s="112"/>
      <c r="C591" s="72"/>
      <c r="D591" s="72"/>
    </row>
    <row r="592" spans="1:4" x14ac:dyDescent="0.2">
      <c r="A592" s="111"/>
      <c r="B592" s="112"/>
      <c r="C592" s="72"/>
      <c r="D592" s="72"/>
    </row>
    <row r="593" spans="1:4" x14ac:dyDescent="0.2">
      <c r="A593" s="111"/>
      <c r="B593" s="112"/>
      <c r="C593" s="72"/>
      <c r="D593" s="72"/>
    </row>
    <row r="594" spans="1:4" x14ac:dyDescent="0.2">
      <c r="A594" s="111"/>
      <c r="B594" s="112"/>
      <c r="C594" s="72"/>
      <c r="D594" s="72"/>
    </row>
    <row r="595" spans="1:4" x14ac:dyDescent="0.2">
      <c r="A595" s="111"/>
      <c r="B595" s="112"/>
      <c r="C595" s="72"/>
      <c r="D595" s="72"/>
    </row>
    <row r="596" spans="1:4" x14ac:dyDescent="0.2">
      <c r="A596" s="111"/>
      <c r="B596" s="112"/>
      <c r="C596" s="72"/>
      <c r="D596" s="72"/>
    </row>
    <row r="597" spans="1:4" x14ac:dyDescent="0.2">
      <c r="A597" s="111"/>
      <c r="B597" s="112"/>
      <c r="C597" s="72"/>
      <c r="D597" s="72"/>
    </row>
    <row r="598" spans="1:4" x14ac:dyDescent="0.2">
      <c r="A598" s="111"/>
      <c r="B598" s="112"/>
      <c r="C598" s="72"/>
      <c r="D598" s="72"/>
    </row>
    <row r="599" spans="1:4" x14ac:dyDescent="0.2">
      <c r="A599" s="111"/>
      <c r="B599" s="112"/>
      <c r="C599" s="72"/>
      <c r="D599" s="72"/>
    </row>
    <row r="600" spans="1:4" x14ac:dyDescent="0.2">
      <c r="A600" s="111"/>
      <c r="B600" s="112"/>
      <c r="C600" s="72"/>
      <c r="D600" s="72"/>
    </row>
    <row r="601" spans="1:4" x14ac:dyDescent="0.2">
      <c r="A601" s="111"/>
      <c r="B601" s="112"/>
      <c r="C601" s="72"/>
      <c r="D601" s="72"/>
    </row>
    <row r="602" spans="1:4" x14ac:dyDescent="0.2">
      <c r="A602" s="111"/>
      <c r="B602" s="112"/>
      <c r="C602" s="72"/>
      <c r="D602" s="72"/>
    </row>
    <row r="603" spans="1:4" x14ac:dyDescent="0.2">
      <c r="A603" s="111"/>
      <c r="B603" s="112"/>
      <c r="C603" s="72"/>
      <c r="D603" s="72"/>
    </row>
    <row r="604" spans="1:4" x14ac:dyDescent="0.2">
      <c r="A604" s="111"/>
      <c r="B604" s="112"/>
      <c r="C604" s="72"/>
      <c r="D604" s="72"/>
    </row>
    <row r="605" spans="1:4" x14ac:dyDescent="0.2">
      <c r="A605" s="111"/>
      <c r="B605" s="112"/>
      <c r="C605" s="72"/>
      <c r="D605" s="72"/>
    </row>
    <row r="606" spans="1:4" x14ac:dyDescent="0.2">
      <c r="A606" s="111"/>
      <c r="B606" s="112"/>
      <c r="C606" s="72"/>
      <c r="D606" s="72"/>
    </row>
    <row r="607" spans="1:4" x14ac:dyDescent="0.2">
      <c r="A607" s="111"/>
      <c r="B607" s="112"/>
      <c r="C607" s="72"/>
      <c r="D607" s="72"/>
    </row>
    <row r="608" spans="1:4" x14ac:dyDescent="0.2">
      <c r="A608" s="111"/>
      <c r="B608" s="112"/>
      <c r="C608" s="72"/>
      <c r="D608" s="72"/>
    </row>
    <row r="609" spans="1:4" x14ac:dyDescent="0.2">
      <c r="A609" s="111"/>
      <c r="B609" s="112"/>
      <c r="C609" s="72"/>
      <c r="D609" s="72"/>
    </row>
    <row r="610" spans="1:4" x14ac:dyDescent="0.2">
      <c r="A610" s="111"/>
      <c r="B610" s="112"/>
      <c r="C610" s="72"/>
      <c r="D610" s="72"/>
    </row>
    <row r="611" spans="1:4" x14ac:dyDescent="0.2">
      <c r="A611" s="111"/>
      <c r="B611" s="112"/>
      <c r="C611" s="72"/>
      <c r="D611" s="72"/>
    </row>
    <row r="612" spans="1:4" x14ac:dyDescent="0.2">
      <c r="A612" s="111"/>
      <c r="B612" s="112"/>
      <c r="C612" s="72"/>
      <c r="D612" s="72"/>
    </row>
    <row r="613" spans="1:4" x14ac:dyDescent="0.2">
      <c r="A613" s="111"/>
      <c r="B613" s="112"/>
      <c r="C613" s="72"/>
      <c r="D613" s="72"/>
    </row>
    <row r="614" spans="1:4" x14ac:dyDescent="0.2">
      <c r="A614" s="111"/>
      <c r="B614" s="112"/>
      <c r="C614" s="72"/>
      <c r="D614" s="72"/>
    </row>
    <row r="615" spans="1:4" x14ac:dyDescent="0.2">
      <c r="A615" s="111"/>
      <c r="B615" s="112"/>
      <c r="C615" s="72"/>
      <c r="D615" s="72"/>
    </row>
    <row r="616" spans="1:4" x14ac:dyDescent="0.2">
      <c r="A616" s="111"/>
      <c r="B616" s="112"/>
      <c r="C616" s="72"/>
      <c r="D616" s="72"/>
    </row>
    <row r="617" spans="1:4" x14ac:dyDescent="0.2">
      <c r="A617" s="111"/>
      <c r="B617" s="112"/>
      <c r="C617" s="72"/>
      <c r="D617" s="72"/>
    </row>
    <row r="618" spans="1:4" x14ac:dyDescent="0.2">
      <c r="A618" s="111"/>
      <c r="B618" s="112"/>
      <c r="C618" s="72"/>
      <c r="D618" s="72"/>
    </row>
    <row r="619" spans="1:4" x14ac:dyDescent="0.2">
      <c r="A619" s="111"/>
      <c r="B619" s="112"/>
      <c r="C619" s="72"/>
      <c r="D619" s="72"/>
    </row>
    <row r="620" spans="1:4" x14ac:dyDescent="0.2">
      <c r="A620" s="111"/>
      <c r="B620" s="112"/>
      <c r="C620" s="72"/>
      <c r="D620" s="72"/>
    </row>
    <row r="621" spans="1:4" x14ac:dyDescent="0.2">
      <c r="A621" s="111"/>
      <c r="B621" s="112"/>
      <c r="C621" s="72"/>
      <c r="D621" s="72"/>
    </row>
    <row r="622" spans="1:4" x14ac:dyDescent="0.2">
      <c r="A622" s="111"/>
      <c r="B622" s="112"/>
      <c r="C622" s="72"/>
      <c r="D622" s="72"/>
    </row>
    <row r="623" spans="1:4" x14ac:dyDescent="0.2">
      <c r="A623" s="111"/>
      <c r="B623" s="112"/>
      <c r="C623" s="72"/>
      <c r="D623" s="72"/>
    </row>
    <row r="624" spans="1:4" x14ac:dyDescent="0.2">
      <c r="A624" s="111"/>
      <c r="B624" s="112"/>
      <c r="C624" s="72"/>
      <c r="D624" s="72"/>
    </row>
    <row r="625" spans="1:4" x14ac:dyDescent="0.2">
      <c r="A625" s="111"/>
      <c r="B625" s="112"/>
      <c r="C625" s="72"/>
      <c r="D625" s="72"/>
    </row>
    <row r="626" spans="1:4" x14ac:dyDescent="0.2">
      <c r="A626" s="111"/>
      <c r="B626" s="112"/>
      <c r="C626" s="72"/>
      <c r="D626" s="72"/>
    </row>
    <row r="627" spans="1:4" x14ac:dyDescent="0.2">
      <c r="A627" s="111"/>
      <c r="B627" s="112"/>
      <c r="C627" s="72"/>
      <c r="D627" s="72"/>
    </row>
    <row r="628" spans="1:4" x14ac:dyDescent="0.2">
      <c r="A628" s="111"/>
      <c r="B628" s="112"/>
      <c r="C628" s="72"/>
      <c r="D628" s="72"/>
    </row>
    <row r="629" spans="1:4" x14ac:dyDescent="0.2">
      <c r="A629" s="111"/>
      <c r="B629" s="112"/>
      <c r="C629" s="72"/>
      <c r="D629" s="72"/>
    </row>
    <row r="630" spans="1:4" x14ac:dyDescent="0.2">
      <c r="A630" s="111"/>
      <c r="B630" s="112"/>
      <c r="C630" s="72"/>
      <c r="D630" s="72"/>
    </row>
    <row r="631" spans="1:4" x14ac:dyDescent="0.2">
      <c r="A631" s="111"/>
      <c r="B631" s="112"/>
      <c r="C631" s="72"/>
      <c r="D631" s="72"/>
    </row>
    <row r="632" spans="1:4" x14ac:dyDescent="0.2">
      <c r="A632" s="111"/>
      <c r="B632" s="112"/>
      <c r="C632" s="72"/>
      <c r="D632" s="72"/>
    </row>
    <row r="633" spans="1:4" x14ac:dyDescent="0.2">
      <c r="A633" s="111"/>
      <c r="B633" s="112"/>
      <c r="C633" s="72"/>
      <c r="D633" s="72"/>
    </row>
    <row r="634" spans="1:4" x14ac:dyDescent="0.2">
      <c r="A634" s="111"/>
      <c r="B634" s="112"/>
      <c r="C634" s="72"/>
      <c r="D634" s="72"/>
    </row>
    <row r="635" spans="1:4" x14ac:dyDescent="0.2">
      <c r="A635" s="111"/>
      <c r="B635" s="112"/>
      <c r="C635" s="72"/>
      <c r="D635" s="72"/>
    </row>
    <row r="636" spans="1:4" x14ac:dyDescent="0.2">
      <c r="A636" s="111"/>
      <c r="B636" s="112"/>
      <c r="C636" s="72"/>
      <c r="D636" s="72"/>
    </row>
    <row r="637" spans="1:4" x14ac:dyDescent="0.2">
      <c r="A637" s="111"/>
      <c r="B637" s="112"/>
      <c r="C637" s="72"/>
      <c r="D637" s="72"/>
    </row>
    <row r="638" spans="1:4" x14ac:dyDescent="0.2">
      <c r="A638" s="111"/>
      <c r="B638" s="112"/>
      <c r="C638" s="72"/>
      <c r="D638" s="72"/>
    </row>
    <row r="639" spans="1:4" x14ac:dyDescent="0.2">
      <c r="A639" s="111"/>
      <c r="B639" s="112"/>
      <c r="C639" s="72"/>
      <c r="D639" s="72"/>
    </row>
    <row r="640" spans="1:4" x14ac:dyDescent="0.2">
      <c r="A640" s="111"/>
      <c r="B640" s="112"/>
      <c r="C640" s="72"/>
      <c r="D640" s="72"/>
    </row>
    <row r="641" spans="1:4" x14ac:dyDescent="0.2">
      <c r="A641" s="111"/>
      <c r="B641" s="112"/>
      <c r="C641" s="72"/>
      <c r="D641" s="72"/>
    </row>
    <row r="642" spans="1:4" x14ac:dyDescent="0.2">
      <c r="A642" s="111"/>
      <c r="B642" s="112"/>
      <c r="C642" s="72"/>
      <c r="D642" s="72"/>
    </row>
    <row r="643" spans="1:4" x14ac:dyDescent="0.2">
      <c r="A643" s="111"/>
      <c r="B643" s="112"/>
      <c r="C643" s="72"/>
      <c r="D643" s="72"/>
    </row>
    <row r="644" spans="1:4" x14ac:dyDescent="0.2">
      <c r="A644" s="111"/>
      <c r="B644" s="112"/>
      <c r="C644" s="72"/>
      <c r="D644" s="72"/>
    </row>
    <row r="645" spans="1:4" x14ac:dyDescent="0.2">
      <c r="A645" s="111"/>
      <c r="B645" s="112"/>
      <c r="C645" s="72"/>
      <c r="D645" s="72"/>
    </row>
    <row r="646" spans="1:4" x14ac:dyDescent="0.2">
      <c r="A646" s="111"/>
      <c r="B646" s="112"/>
      <c r="C646" s="72"/>
      <c r="D646" s="72"/>
    </row>
    <row r="647" spans="1:4" x14ac:dyDescent="0.2">
      <c r="A647" s="111"/>
      <c r="B647" s="112"/>
      <c r="C647" s="72"/>
      <c r="D647" s="72"/>
    </row>
    <row r="648" spans="1:4" x14ac:dyDescent="0.2">
      <c r="A648" s="111"/>
      <c r="B648" s="112"/>
      <c r="C648" s="72"/>
      <c r="D648" s="72"/>
    </row>
    <row r="649" spans="1:4" x14ac:dyDescent="0.2">
      <c r="A649" s="111"/>
      <c r="B649" s="112"/>
      <c r="C649" s="72"/>
      <c r="D649" s="72"/>
    </row>
    <row r="650" spans="1:4" x14ac:dyDescent="0.2">
      <c r="A650" s="111"/>
      <c r="B650" s="112"/>
      <c r="C650" s="72"/>
      <c r="D650" s="72"/>
    </row>
    <row r="651" spans="1:4" x14ac:dyDescent="0.2">
      <c r="A651" s="111"/>
      <c r="B651" s="112"/>
      <c r="C651" s="72"/>
      <c r="D651" s="72"/>
    </row>
    <row r="652" spans="1:4" x14ac:dyDescent="0.2">
      <c r="A652" s="111"/>
      <c r="B652" s="112"/>
      <c r="C652" s="72"/>
      <c r="D652" s="72"/>
    </row>
    <row r="653" spans="1:4" x14ac:dyDescent="0.2">
      <c r="A653" s="111"/>
      <c r="B653" s="112"/>
      <c r="C653" s="72"/>
      <c r="D653" s="72"/>
    </row>
    <row r="654" spans="1:4" x14ac:dyDescent="0.2">
      <c r="A654" s="111"/>
      <c r="B654" s="112"/>
      <c r="C654" s="72"/>
      <c r="D654" s="72"/>
    </row>
    <row r="655" spans="1:4" x14ac:dyDescent="0.2">
      <c r="A655" s="111"/>
      <c r="B655" s="112"/>
      <c r="C655" s="72"/>
      <c r="D655" s="72"/>
    </row>
    <row r="656" spans="1:4" x14ac:dyDescent="0.2">
      <c r="A656" s="111"/>
      <c r="B656" s="112"/>
      <c r="C656" s="72"/>
      <c r="D656" s="72"/>
    </row>
    <row r="657" spans="1:4" x14ac:dyDescent="0.2">
      <c r="A657" s="111"/>
      <c r="B657" s="112"/>
      <c r="C657" s="72"/>
      <c r="D657" s="72"/>
    </row>
    <row r="658" spans="1:4" x14ac:dyDescent="0.2">
      <c r="A658" s="111"/>
      <c r="B658" s="112"/>
      <c r="C658" s="72"/>
      <c r="D658" s="72"/>
    </row>
    <row r="659" spans="1:4" x14ac:dyDescent="0.2">
      <c r="A659" s="111"/>
      <c r="B659" s="112"/>
      <c r="C659" s="72"/>
      <c r="D659" s="72"/>
    </row>
    <row r="660" spans="1:4" x14ac:dyDescent="0.2">
      <c r="A660" s="111"/>
      <c r="B660" s="112"/>
      <c r="C660" s="72"/>
      <c r="D660" s="72"/>
    </row>
    <row r="661" spans="1:4" x14ac:dyDescent="0.2">
      <c r="A661" s="111"/>
      <c r="B661" s="112"/>
      <c r="C661" s="72"/>
      <c r="D661" s="72"/>
    </row>
    <row r="662" spans="1:4" x14ac:dyDescent="0.2">
      <c r="A662" s="111"/>
      <c r="B662" s="112"/>
      <c r="C662" s="72"/>
      <c r="D662" s="72"/>
    </row>
    <row r="663" spans="1:4" x14ac:dyDescent="0.2">
      <c r="A663" s="111"/>
      <c r="B663" s="112"/>
      <c r="C663" s="72"/>
      <c r="D663" s="72"/>
    </row>
    <row r="664" spans="1:4" x14ac:dyDescent="0.2">
      <c r="A664" s="111"/>
      <c r="B664" s="112"/>
      <c r="C664" s="72"/>
      <c r="D664" s="72"/>
    </row>
    <row r="665" spans="1:4" x14ac:dyDescent="0.2">
      <c r="A665" s="111"/>
      <c r="B665" s="112"/>
      <c r="C665" s="72"/>
      <c r="D665" s="72"/>
    </row>
    <row r="666" spans="1:4" x14ac:dyDescent="0.2">
      <c r="A666" s="111"/>
      <c r="B666" s="112"/>
      <c r="C666" s="72"/>
      <c r="D666" s="72"/>
    </row>
    <row r="667" spans="1:4" x14ac:dyDescent="0.2">
      <c r="A667" s="111"/>
      <c r="B667" s="112"/>
      <c r="C667" s="72"/>
      <c r="D667" s="72"/>
    </row>
    <row r="668" spans="1:4" x14ac:dyDescent="0.2">
      <c r="A668" s="111"/>
      <c r="B668" s="112"/>
      <c r="C668" s="72"/>
      <c r="D668" s="72"/>
    </row>
    <row r="669" spans="1:4" x14ac:dyDescent="0.2">
      <c r="A669" s="111"/>
      <c r="B669" s="112"/>
      <c r="C669" s="72"/>
      <c r="D669" s="72"/>
    </row>
    <row r="670" spans="1:4" x14ac:dyDescent="0.2">
      <c r="A670" s="111"/>
      <c r="B670" s="112"/>
      <c r="C670" s="72"/>
      <c r="D670" s="72"/>
    </row>
    <row r="671" spans="1:4" x14ac:dyDescent="0.2">
      <c r="A671" s="111"/>
      <c r="B671" s="112"/>
      <c r="C671" s="72"/>
      <c r="D671" s="72"/>
    </row>
    <row r="672" spans="1:4" x14ac:dyDescent="0.2">
      <c r="A672" s="111"/>
      <c r="B672" s="112"/>
      <c r="C672" s="72"/>
      <c r="D672" s="72"/>
    </row>
    <row r="673" spans="1:4" x14ac:dyDescent="0.2">
      <c r="A673" s="111"/>
      <c r="B673" s="112"/>
      <c r="C673" s="72"/>
      <c r="D673" s="72"/>
    </row>
    <row r="674" spans="1:4" x14ac:dyDescent="0.2">
      <c r="A674" s="111"/>
      <c r="B674" s="112"/>
      <c r="C674" s="72"/>
      <c r="D674" s="72"/>
    </row>
    <row r="675" spans="1:4" x14ac:dyDescent="0.2">
      <c r="A675" s="111"/>
      <c r="B675" s="112"/>
      <c r="C675" s="72"/>
      <c r="D675" s="72"/>
    </row>
    <row r="676" spans="1:4" x14ac:dyDescent="0.2">
      <c r="A676" s="111"/>
      <c r="B676" s="112"/>
      <c r="C676" s="72"/>
      <c r="D676" s="72"/>
    </row>
    <row r="677" spans="1:4" x14ac:dyDescent="0.2">
      <c r="A677" s="111"/>
      <c r="B677" s="112"/>
      <c r="C677" s="72"/>
      <c r="D677" s="72"/>
    </row>
    <row r="678" spans="1:4" x14ac:dyDescent="0.2">
      <c r="A678" s="111"/>
      <c r="B678" s="112"/>
      <c r="C678" s="72"/>
      <c r="D678" s="72"/>
    </row>
    <row r="679" spans="1:4" x14ac:dyDescent="0.2">
      <c r="A679" s="111"/>
      <c r="B679" s="112"/>
      <c r="C679" s="72"/>
      <c r="D679" s="72"/>
    </row>
    <row r="680" spans="1:4" x14ac:dyDescent="0.2">
      <c r="A680" s="111"/>
      <c r="B680" s="112"/>
      <c r="C680" s="72"/>
      <c r="D680" s="72"/>
    </row>
    <row r="681" spans="1:4" x14ac:dyDescent="0.2">
      <c r="A681" s="111"/>
      <c r="B681" s="112"/>
      <c r="C681" s="72"/>
      <c r="D681" s="72"/>
    </row>
    <row r="682" spans="1:4" x14ac:dyDescent="0.2">
      <c r="A682" s="111"/>
      <c r="B682" s="112"/>
      <c r="C682" s="72"/>
      <c r="D682" s="72"/>
    </row>
    <row r="683" spans="1:4" x14ac:dyDescent="0.2">
      <c r="A683" s="111"/>
      <c r="B683" s="112"/>
      <c r="C683" s="72"/>
      <c r="D683" s="72"/>
    </row>
    <row r="684" spans="1:4" x14ac:dyDescent="0.2">
      <c r="A684" s="111"/>
      <c r="B684" s="112"/>
      <c r="C684" s="72"/>
      <c r="D684" s="72"/>
    </row>
    <row r="685" spans="1:4" x14ac:dyDescent="0.2">
      <c r="A685" s="111"/>
      <c r="B685" s="112"/>
      <c r="C685" s="72"/>
      <c r="D685" s="72"/>
    </row>
    <row r="686" spans="1:4" x14ac:dyDescent="0.2">
      <c r="A686" s="111"/>
      <c r="B686" s="112"/>
      <c r="C686" s="72"/>
      <c r="D686" s="72"/>
    </row>
    <row r="687" spans="1:4" x14ac:dyDescent="0.2">
      <c r="A687" s="111"/>
      <c r="B687" s="112"/>
      <c r="C687" s="72"/>
      <c r="D687" s="72"/>
    </row>
    <row r="688" spans="1:4" x14ac:dyDescent="0.2">
      <c r="A688" s="111"/>
      <c r="B688" s="112"/>
      <c r="C688" s="72"/>
      <c r="D688" s="72"/>
    </row>
    <row r="689" spans="1:4" x14ac:dyDescent="0.2">
      <c r="A689" s="111"/>
      <c r="B689" s="112"/>
      <c r="C689" s="72"/>
      <c r="D689" s="72"/>
    </row>
    <row r="690" spans="1:4" x14ac:dyDescent="0.2">
      <c r="A690" s="111"/>
      <c r="B690" s="112"/>
      <c r="C690" s="72"/>
      <c r="D690" s="72"/>
    </row>
    <row r="691" spans="1:4" x14ac:dyDescent="0.2">
      <c r="A691" s="111"/>
      <c r="B691" s="112"/>
      <c r="C691" s="72"/>
      <c r="D691" s="72"/>
    </row>
    <row r="692" spans="1:4" x14ac:dyDescent="0.2">
      <c r="A692" s="111"/>
      <c r="B692" s="112"/>
      <c r="C692" s="72"/>
      <c r="D692" s="72"/>
    </row>
    <row r="693" spans="1:4" x14ac:dyDescent="0.2">
      <c r="A693" s="111"/>
      <c r="B693" s="112"/>
      <c r="C693" s="72"/>
      <c r="D693" s="72"/>
    </row>
    <row r="694" spans="1:4" x14ac:dyDescent="0.2">
      <c r="A694" s="111"/>
      <c r="B694" s="112"/>
      <c r="C694" s="72"/>
      <c r="D694" s="72"/>
    </row>
    <row r="695" spans="1:4" x14ac:dyDescent="0.2">
      <c r="A695" s="111"/>
      <c r="B695" s="112"/>
      <c r="C695" s="72"/>
      <c r="D695" s="72"/>
    </row>
    <row r="696" spans="1:4" x14ac:dyDescent="0.2">
      <c r="A696" s="111"/>
      <c r="B696" s="112"/>
      <c r="C696" s="72"/>
      <c r="D696" s="72"/>
    </row>
    <row r="697" spans="1:4" x14ac:dyDescent="0.2">
      <c r="A697" s="111"/>
      <c r="B697" s="112"/>
      <c r="C697" s="72"/>
      <c r="D697" s="72"/>
    </row>
    <row r="698" spans="1:4" x14ac:dyDescent="0.2">
      <c r="A698" s="111"/>
      <c r="B698" s="112"/>
      <c r="C698" s="72"/>
      <c r="D698" s="72"/>
    </row>
    <row r="699" spans="1:4" x14ac:dyDescent="0.2">
      <c r="A699" s="111"/>
      <c r="B699" s="112"/>
      <c r="C699" s="72"/>
      <c r="D699" s="72"/>
    </row>
    <row r="700" spans="1:4" x14ac:dyDescent="0.2">
      <c r="A700" s="111"/>
      <c r="B700" s="112"/>
      <c r="C700" s="72"/>
      <c r="D700" s="72"/>
    </row>
    <row r="701" spans="1:4" x14ac:dyDescent="0.2">
      <c r="A701" s="111"/>
      <c r="B701" s="112"/>
      <c r="C701" s="72"/>
      <c r="D701" s="72"/>
    </row>
    <row r="702" spans="1:4" x14ac:dyDescent="0.2">
      <c r="A702" s="111"/>
      <c r="B702" s="112"/>
      <c r="C702" s="72"/>
      <c r="D702" s="72"/>
    </row>
    <row r="703" spans="1:4" x14ac:dyDescent="0.2">
      <c r="A703" s="111"/>
      <c r="B703" s="112"/>
      <c r="C703" s="72"/>
      <c r="D703" s="72"/>
    </row>
    <row r="704" spans="1:4" x14ac:dyDescent="0.2">
      <c r="A704" s="111"/>
      <c r="B704" s="112"/>
      <c r="C704" s="72"/>
      <c r="D704" s="72"/>
    </row>
    <row r="705" spans="1:4" x14ac:dyDescent="0.2">
      <c r="A705" s="111"/>
      <c r="B705" s="112"/>
      <c r="C705" s="72"/>
      <c r="D705" s="72"/>
    </row>
    <row r="706" spans="1:4" x14ac:dyDescent="0.2">
      <c r="A706" s="111"/>
      <c r="B706" s="112"/>
      <c r="C706" s="72"/>
      <c r="D706" s="72"/>
    </row>
    <row r="707" spans="1:4" x14ac:dyDescent="0.2">
      <c r="A707" s="111"/>
      <c r="B707" s="112"/>
      <c r="C707" s="72"/>
      <c r="D707" s="72"/>
    </row>
    <row r="708" spans="1:4" x14ac:dyDescent="0.2">
      <c r="A708" s="111"/>
      <c r="B708" s="112"/>
      <c r="C708" s="72"/>
      <c r="D708" s="72"/>
    </row>
    <row r="709" spans="1:4" x14ac:dyDescent="0.2">
      <c r="A709" s="111"/>
      <c r="B709" s="112"/>
      <c r="C709" s="72"/>
      <c r="D709" s="72"/>
    </row>
    <row r="710" spans="1:4" x14ac:dyDescent="0.2">
      <c r="A710" s="111"/>
      <c r="B710" s="112"/>
      <c r="C710" s="72"/>
      <c r="D710" s="72"/>
    </row>
    <row r="711" spans="1:4" x14ac:dyDescent="0.2">
      <c r="A711" s="111"/>
      <c r="B711" s="112"/>
      <c r="C711" s="72"/>
      <c r="D711" s="72"/>
    </row>
    <row r="712" spans="1:4" x14ac:dyDescent="0.2">
      <c r="A712" s="111"/>
      <c r="B712" s="112"/>
      <c r="C712" s="72"/>
      <c r="D712" s="72"/>
    </row>
    <row r="713" spans="1:4" x14ac:dyDescent="0.2">
      <c r="A713" s="111"/>
      <c r="B713" s="112"/>
      <c r="C713" s="72"/>
      <c r="D713" s="72"/>
    </row>
    <row r="714" spans="1:4" x14ac:dyDescent="0.2">
      <c r="A714" s="111"/>
      <c r="B714" s="112"/>
      <c r="C714" s="72"/>
      <c r="D714" s="72"/>
    </row>
    <row r="715" spans="1:4" x14ac:dyDescent="0.2">
      <c r="A715" s="111"/>
      <c r="B715" s="112"/>
      <c r="C715" s="72"/>
      <c r="D715" s="72"/>
    </row>
    <row r="716" spans="1:4" x14ac:dyDescent="0.2">
      <c r="A716" s="111"/>
      <c r="B716" s="112"/>
      <c r="C716" s="72"/>
      <c r="D716" s="72"/>
    </row>
    <row r="717" spans="1:4" x14ac:dyDescent="0.2">
      <c r="A717" s="111"/>
      <c r="B717" s="112"/>
      <c r="C717" s="72"/>
      <c r="D717" s="72"/>
    </row>
    <row r="718" spans="1:4" x14ac:dyDescent="0.2">
      <c r="A718" s="111"/>
      <c r="B718" s="112"/>
      <c r="C718" s="72"/>
      <c r="D718" s="72"/>
    </row>
    <row r="719" spans="1:4" x14ac:dyDescent="0.2">
      <c r="A719" s="111"/>
      <c r="B719" s="112"/>
      <c r="C719" s="72"/>
      <c r="D719" s="72"/>
    </row>
    <row r="720" spans="1:4" x14ac:dyDescent="0.2">
      <c r="A720" s="111"/>
      <c r="B720" s="112"/>
      <c r="C720" s="72"/>
      <c r="D720" s="72"/>
    </row>
    <row r="721" spans="1:4" x14ac:dyDescent="0.2">
      <c r="A721" s="111"/>
      <c r="B721" s="112"/>
      <c r="C721" s="72"/>
      <c r="D721" s="72"/>
    </row>
    <row r="722" spans="1:4" x14ac:dyDescent="0.2">
      <c r="A722" s="111"/>
      <c r="B722" s="112"/>
      <c r="C722" s="72"/>
      <c r="D722" s="72"/>
    </row>
    <row r="723" spans="1:4" x14ac:dyDescent="0.2">
      <c r="A723" s="111"/>
      <c r="B723" s="112"/>
      <c r="C723" s="72"/>
      <c r="D723" s="72"/>
    </row>
    <row r="724" spans="1:4" x14ac:dyDescent="0.2">
      <c r="A724" s="111"/>
      <c r="B724" s="112"/>
      <c r="C724" s="72"/>
      <c r="D724" s="72"/>
    </row>
    <row r="725" spans="1:4" x14ac:dyDescent="0.2">
      <c r="A725" s="111"/>
      <c r="B725" s="112"/>
      <c r="C725" s="72"/>
      <c r="D725" s="72"/>
    </row>
    <row r="726" spans="1:4" x14ac:dyDescent="0.2">
      <c r="A726" s="111"/>
      <c r="B726" s="112"/>
      <c r="C726" s="72"/>
      <c r="D726" s="72"/>
    </row>
    <row r="727" spans="1:4" x14ac:dyDescent="0.2">
      <c r="A727" s="111"/>
      <c r="B727" s="112"/>
      <c r="C727" s="72"/>
      <c r="D727" s="72"/>
    </row>
    <row r="728" spans="1:4" x14ac:dyDescent="0.2">
      <c r="A728" s="111"/>
      <c r="B728" s="112"/>
      <c r="C728" s="72"/>
      <c r="D728" s="72"/>
    </row>
    <row r="729" spans="1:4" x14ac:dyDescent="0.2">
      <c r="A729" s="111"/>
      <c r="B729" s="112"/>
      <c r="C729" s="72"/>
      <c r="D729" s="72"/>
    </row>
    <row r="730" spans="1:4" x14ac:dyDescent="0.2">
      <c r="A730" s="111"/>
      <c r="B730" s="112"/>
      <c r="C730" s="72"/>
      <c r="D730" s="72"/>
    </row>
    <row r="731" spans="1:4" x14ac:dyDescent="0.2">
      <c r="A731" s="111"/>
      <c r="B731" s="112"/>
      <c r="C731" s="72"/>
      <c r="D731" s="72"/>
    </row>
    <row r="732" spans="1:4" x14ac:dyDescent="0.2">
      <c r="A732" s="111"/>
      <c r="B732" s="112"/>
      <c r="C732" s="72"/>
      <c r="D732" s="72"/>
    </row>
    <row r="733" spans="1:4" x14ac:dyDescent="0.2">
      <c r="A733" s="111"/>
      <c r="B733" s="112"/>
      <c r="C733" s="72"/>
      <c r="D733" s="72"/>
    </row>
    <row r="734" spans="1:4" x14ac:dyDescent="0.2">
      <c r="A734" s="111"/>
      <c r="B734" s="112"/>
      <c r="C734" s="72"/>
      <c r="D734" s="72"/>
    </row>
    <row r="735" spans="1:4" x14ac:dyDescent="0.2">
      <c r="A735" s="111"/>
      <c r="B735" s="112"/>
      <c r="C735" s="72"/>
      <c r="D735" s="72"/>
    </row>
    <row r="736" spans="1:4" x14ac:dyDescent="0.2">
      <c r="A736" s="111"/>
      <c r="B736" s="112"/>
      <c r="C736" s="72"/>
      <c r="D736" s="72"/>
    </row>
    <row r="737" spans="1:4" x14ac:dyDescent="0.2">
      <c r="A737" s="111"/>
      <c r="B737" s="112"/>
      <c r="C737" s="72"/>
      <c r="D737" s="72"/>
    </row>
    <row r="738" spans="1:4" x14ac:dyDescent="0.2">
      <c r="A738" s="111"/>
      <c r="B738" s="112"/>
      <c r="C738" s="72"/>
      <c r="D738" s="72"/>
    </row>
    <row r="739" spans="1:4" x14ac:dyDescent="0.2">
      <c r="A739" s="111"/>
      <c r="B739" s="112"/>
      <c r="C739" s="72"/>
      <c r="D739" s="72"/>
    </row>
    <row r="740" spans="1:4" x14ac:dyDescent="0.2">
      <c r="A740" s="111"/>
      <c r="B740" s="112"/>
      <c r="C740" s="72"/>
      <c r="D740" s="72"/>
    </row>
    <row r="741" spans="1:4" x14ac:dyDescent="0.2">
      <c r="A741" s="111"/>
      <c r="B741" s="112"/>
      <c r="C741" s="72"/>
      <c r="D741" s="72"/>
    </row>
    <row r="742" spans="1:4" x14ac:dyDescent="0.2">
      <c r="A742" s="111"/>
      <c r="B742" s="112"/>
      <c r="C742" s="72"/>
      <c r="D742" s="72"/>
    </row>
    <row r="743" spans="1:4" x14ac:dyDescent="0.2">
      <c r="A743" s="111"/>
      <c r="B743" s="112"/>
      <c r="C743" s="72"/>
      <c r="D743" s="72"/>
    </row>
    <row r="744" spans="1:4" x14ac:dyDescent="0.2">
      <c r="A744" s="111"/>
      <c r="B744" s="112"/>
      <c r="C744" s="72"/>
      <c r="D744" s="72"/>
    </row>
    <row r="745" spans="1:4" x14ac:dyDescent="0.2">
      <c r="A745" s="111"/>
      <c r="B745" s="112"/>
      <c r="C745" s="72"/>
      <c r="D745" s="72"/>
    </row>
    <row r="746" spans="1:4" x14ac:dyDescent="0.2">
      <c r="A746" s="111"/>
      <c r="B746" s="112"/>
      <c r="C746" s="72"/>
      <c r="D746" s="72"/>
    </row>
    <row r="747" spans="1:4" x14ac:dyDescent="0.2">
      <c r="A747" s="111"/>
      <c r="B747" s="112"/>
      <c r="C747" s="72"/>
      <c r="D747" s="72"/>
    </row>
    <row r="748" spans="1:4" x14ac:dyDescent="0.2">
      <c r="A748" s="111"/>
      <c r="B748" s="112"/>
      <c r="C748" s="72"/>
      <c r="D748" s="72"/>
    </row>
    <row r="749" spans="1:4" x14ac:dyDescent="0.2">
      <c r="A749" s="111"/>
      <c r="B749" s="112"/>
      <c r="C749" s="72"/>
      <c r="D749" s="72"/>
    </row>
    <row r="750" spans="1:4" x14ac:dyDescent="0.2">
      <c r="A750" s="111"/>
      <c r="B750" s="112"/>
      <c r="C750" s="72"/>
      <c r="D750" s="72"/>
    </row>
    <row r="751" spans="1:4" x14ac:dyDescent="0.2">
      <c r="A751" s="111"/>
      <c r="B751" s="112"/>
      <c r="C751" s="72"/>
      <c r="D751" s="72"/>
    </row>
    <row r="752" spans="1:4" x14ac:dyDescent="0.2">
      <c r="A752" s="111"/>
      <c r="B752" s="112"/>
      <c r="C752" s="72"/>
      <c r="D752" s="72"/>
    </row>
    <row r="753" spans="1:4" x14ac:dyDescent="0.2">
      <c r="A753" s="111"/>
      <c r="B753" s="112"/>
      <c r="C753" s="72"/>
      <c r="D753" s="72"/>
    </row>
    <row r="754" spans="1:4" x14ac:dyDescent="0.2">
      <c r="A754" s="111"/>
      <c r="B754" s="112"/>
      <c r="C754" s="72"/>
      <c r="D754" s="72"/>
    </row>
    <row r="755" spans="1:4" x14ac:dyDescent="0.2">
      <c r="A755" s="111"/>
      <c r="B755" s="112"/>
      <c r="C755" s="72"/>
      <c r="D755" s="72"/>
    </row>
    <row r="756" spans="1:4" x14ac:dyDescent="0.2">
      <c r="A756" s="111"/>
      <c r="B756" s="112"/>
      <c r="C756" s="72"/>
      <c r="D756" s="72"/>
    </row>
    <row r="757" spans="1:4" x14ac:dyDescent="0.2">
      <c r="A757" s="111"/>
      <c r="B757" s="112"/>
      <c r="C757" s="72"/>
      <c r="D757" s="72"/>
    </row>
    <row r="758" spans="1:4" x14ac:dyDescent="0.2">
      <c r="A758" s="111"/>
      <c r="B758" s="112"/>
      <c r="C758" s="72"/>
      <c r="D758" s="72"/>
    </row>
    <row r="759" spans="1:4" x14ac:dyDescent="0.2">
      <c r="A759" s="111"/>
      <c r="B759" s="112"/>
      <c r="C759" s="72"/>
      <c r="D759" s="72"/>
    </row>
  </sheetData>
  <mergeCells count="2">
    <mergeCell ref="A1:D1"/>
    <mergeCell ref="A2:D2"/>
  </mergeCells>
  <phoneticPr fontId="0" type="noConversion"/>
  <pageMargins left="0.98425196850393704" right="0.74803149606299213" top="0.78740157480314965" bottom="0.59055118110236227" header="0" footer="0"/>
  <pageSetup paperSize="9" scale="75" orientation="portrait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F55"/>
  <sheetViews>
    <sheetView showGridLines="0" workbookViewId="0">
      <selection activeCell="E18" sqref="E18"/>
    </sheetView>
  </sheetViews>
  <sheetFormatPr baseColWidth="10" defaultRowHeight="12.75" x14ac:dyDescent="0.2"/>
  <cols>
    <col min="1" max="1" width="11.42578125" style="4"/>
    <col min="2" max="2" width="59.28515625" style="4" customWidth="1"/>
    <col min="3" max="3" width="11" style="35" bestFit="1" customWidth="1"/>
    <col min="4" max="4" width="10.5703125" style="4" customWidth="1"/>
    <col min="5" max="16384" width="11.42578125" style="4"/>
  </cols>
  <sheetData>
    <row r="1" spans="1:5" ht="18.75" x14ac:dyDescent="0.2">
      <c r="A1" s="540" t="s">
        <v>406</v>
      </c>
      <c r="B1" s="541"/>
      <c r="C1" s="541"/>
      <c r="D1" s="541"/>
    </row>
    <row r="2" spans="1:5" ht="15" x14ac:dyDescent="0.2">
      <c r="A2" s="542" t="s">
        <v>931</v>
      </c>
      <c r="B2" s="539"/>
      <c r="C2" s="539"/>
      <c r="D2" s="539"/>
    </row>
    <row r="3" spans="1:5" x14ac:dyDescent="0.2">
      <c r="A3" s="371"/>
      <c r="B3" s="350"/>
      <c r="C3" s="350"/>
      <c r="D3" s="350"/>
    </row>
    <row r="4" spans="1:5" x14ac:dyDescent="0.2">
      <c r="A4" s="336">
        <v>3</v>
      </c>
      <c r="B4" s="345" t="s">
        <v>421</v>
      </c>
      <c r="C4" s="382"/>
      <c r="D4" s="350"/>
    </row>
    <row r="5" spans="1:5" x14ac:dyDescent="0.2">
      <c r="A5" s="483">
        <v>3.3</v>
      </c>
      <c r="B5" s="495" t="s">
        <v>96</v>
      </c>
      <c r="C5" s="496"/>
      <c r="D5" s="350"/>
    </row>
    <row r="6" spans="1:5" x14ac:dyDescent="0.2">
      <c r="A6" s="497" t="s">
        <v>439</v>
      </c>
      <c r="B6" s="550" t="s">
        <v>291</v>
      </c>
      <c r="C6" s="550"/>
      <c r="D6" s="373"/>
    </row>
    <row r="7" spans="1:5" x14ac:dyDescent="0.2">
      <c r="A7" s="76" t="s">
        <v>5</v>
      </c>
      <c r="B7" s="92" t="s">
        <v>6</v>
      </c>
      <c r="C7" s="126" t="s">
        <v>400</v>
      </c>
      <c r="D7" s="33" t="s">
        <v>7</v>
      </c>
    </row>
    <row r="8" spans="1:5" x14ac:dyDescent="0.2">
      <c r="A8" s="76"/>
      <c r="B8" s="92"/>
      <c r="C8" s="126"/>
      <c r="D8" s="33"/>
    </row>
    <row r="9" spans="1:5" x14ac:dyDescent="0.2">
      <c r="A9" s="54"/>
      <c r="B9" s="56" t="s">
        <v>7</v>
      </c>
      <c r="C9" s="40">
        <f>SUM(C11:C50)</f>
        <v>717600</v>
      </c>
      <c r="D9" s="40">
        <f>+D10+D20+D45</f>
        <v>717600</v>
      </c>
      <c r="E9" s="18"/>
    </row>
    <row r="10" spans="1:5" x14ac:dyDescent="0.2">
      <c r="A10" s="54">
        <v>5</v>
      </c>
      <c r="B10" s="56" t="s">
        <v>8</v>
      </c>
      <c r="C10" s="40"/>
      <c r="D10" s="40">
        <f>+D11</f>
        <v>11600</v>
      </c>
    </row>
    <row r="11" spans="1:5" x14ac:dyDescent="0.2">
      <c r="A11" s="54">
        <v>5.3</v>
      </c>
      <c r="B11" s="56" t="s">
        <v>14</v>
      </c>
      <c r="C11" s="40" t="s">
        <v>147</v>
      </c>
      <c r="D11" s="40">
        <f>+D16+D12+D14</f>
        <v>11600</v>
      </c>
      <c r="E11" s="150"/>
    </row>
    <row r="12" spans="1:5" x14ac:dyDescent="0.2">
      <c r="A12" s="42" t="s">
        <v>23</v>
      </c>
      <c r="B12" s="43" t="s">
        <v>4</v>
      </c>
      <c r="C12" s="44" t="s">
        <v>147</v>
      </c>
      <c r="D12" s="44">
        <f>SUM(C13:C13)</f>
        <v>3000</v>
      </c>
    </row>
    <row r="13" spans="1:5" x14ac:dyDescent="0.2">
      <c r="A13" s="45" t="s">
        <v>306</v>
      </c>
      <c r="B13" s="46" t="s">
        <v>318</v>
      </c>
      <c r="C13" s="47">
        <v>3000</v>
      </c>
      <c r="D13" s="47"/>
    </row>
    <row r="14" spans="1:5" x14ac:dyDescent="0.2">
      <c r="A14" s="42" t="s">
        <v>109</v>
      </c>
      <c r="B14" s="59" t="s">
        <v>110</v>
      </c>
      <c r="C14" s="40"/>
      <c r="D14" s="40">
        <f>SUM(C15:C15)</f>
        <v>0</v>
      </c>
    </row>
    <row r="15" spans="1:5" x14ac:dyDescent="0.2">
      <c r="A15" s="45" t="s">
        <v>708</v>
      </c>
      <c r="B15" s="60" t="s">
        <v>1</v>
      </c>
      <c r="C15" s="41">
        <v>0</v>
      </c>
      <c r="D15" s="41"/>
    </row>
    <row r="16" spans="1:5" x14ac:dyDescent="0.2">
      <c r="A16" s="54" t="s">
        <v>55</v>
      </c>
      <c r="B16" s="56" t="s">
        <v>56</v>
      </c>
      <c r="C16" s="40"/>
      <c r="D16" s="40">
        <f>SUM(C17:C19)</f>
        <v>8600</v>
      </c>
    </row>
    <row r="17" spans="1:5" x14ac:dyDescent="0.2">
      <c r="A17" s="57" t="s">
        <v>59</v>
      </c>
      <c r="B17" s="58" t="s">
        <v>60</v>
      </c>
      <c r="C17" s="41">
        <v>3600</v>
      </c>
      <c r="D17" s="41"/>
    </row>
    <row r="18" spans="1:5" x14ac:dyDescent="0.2">
      <c r="A18" s="57" t="s">
        <v>180</v>
      </c>
      <c r="B18" s="58" t="s">
        <v>95</v>
      </c>
      <c r="C18" s="41">
        <v>3000</v>
      </c>
      <c r="D18" s="41"/>
    </row>
    <row r="19" spans="1:5" ht="22.5" x14ac:dyDescent="0.2">
      <c r="A19" s="52" t="s">
        <v>67</v>
      </c>
      <c r="B19" s="46" t="s">
        <v>286</v>
      </c>
      <c r="C19" s="41">
        <v>2000</v>
      </c>
      <c r="D19" s="41"/>
    </row>
    <row r="20" spans="1:5" x14ac:dyDescent="0.2">
      <c r="A20" s="54">
        <v>7</v>
      </c>
      <c r="B20" s="56" t="s">
        <v>170</v>
      </c>
      <c r="C20" s="40"/>
      <c r="D20" s="40">
        <f>+D21+D33</f>
        <v>351000</v>
      </c>
    </row>
    <row r="21" spans="1:5" x14ac:dyDescent="0.2">
      <c r="A21" s="54">
        <v>7.3</v>
      </c>
      <c r="B21" s="56" t="s">
        <v>197</v>
      </c>
      <c r="C21" s="40"/>
      <c r="D21" s="40">
        <f>+D22+D25+D27</f>
        <v>145000</v>
      </c>
    </row>
    <row r="22" spans="1:5" x14ac:dyDescent="0.2">
      <c r="A22" s="54" t="s">
        <v>156</v>
      </c>
      <c r="B22" s="56" t="s">
        <v>590</v>
      </c>
      <c r="C22" s="40"/>
      <c r="D22" s="40">
        <f>SUM(C23:C24)</f>
        <v>5000</v>
      </c>
    </row>
    <row r="23" spans="1:5" x14ac:dyDescent="0.2">
      <c r="A23" s="57" t="s">
        <v>158</v>
      </c>
      <c r="B23" s="58" t="s">
        <v>709</v>
      </c>
      <c r="C23" s="41">
        <v>3000</v>
      </c>
      <c r="D23" s="40"/>
    </row>
    <row r="24" spans="1:5" x14ac:dyDescent="0.2">
      <c r="A24" s="57" t="s">
        <v>163</v>
      </c>
      <c r="B24" s="58" t="s">
        <v>710</v>
      </c>
      <c r="C24" s="41">
        <v>2000</v>
      </c>
      <c r="D24" s="40"/>
    </row>
    <row r="25" spans="1:5" x14ac:dyDescent="0.2">
      <c r="A25" s="54" t="s">
        <v>309</v>
      </c>
      <c r="B25" s="56" t="s">
        <v>110</v>
      </c>
      <c r="C25" s="40"/>
      <c r="D25" s="40">
        <f>SUM(C26)</f>
        <v>100000</v>
      </c>
    </row>
    <row r="26" spans="1:5" x14ac:dyDescent="0.2">
      <c r="A26" s="57" t="s">
        <v>788</v>
      </c>
      <c r="B26" s="58" t="s">
        <v>589</v>
      </c>
      <c r="C26" s="41">
        <v>100000</v>
      </c>
      <c r="D26" s="40"/>
    </row>
    <row r="27" spans="1:5" x14ac:dyDescent="0.2">
      <c r="A27" s="54" t="s">
        <v>141</v>
      </c>
      <c r="B27" s="56" t="s">
        <v>198</v>
      </c>
      <c r="C27" s="40"/>
      <c r="D27" s="40">
        <f>SUM(C29:C32)</f>
        <v>40000</v>
      </c>
    </row>
    <row r="28" spans="1:5" x14ac:dyDescent="0.2">
      <c r="A28" s="54" t="s">
        <v>143</v>
      </c>
      <c r="B28" s="56" t="s">
        <v>199</v>
      </c>
      <c r="C28" s="40"/>
      <c r="D28" s="40"/>
    </row>
    <row r="29" spans="1:5" x14ac:dyDescent="0.2">
      <c r="A29" s="57" t="s">
        <v>217</v>
      </c>
      <c r="B29" s="60" t="s">
        <v>602</v>
      </c>
      <c r="C29" s="41">
        <v>20000</v>
      </c>
      <c r="D29" s="41"/>
    </row>
    <row r="30" spans="1:5" x14ac:dyDescent="0.2">
      <c r="A30" s="57" t="s">
        <v>218</v>
      </c>
      <c r="B30" s="58" t="s">
        <v>603</v>
      </c>
      <c r="C30" s="41">
        <v>3000</v>
      </c>
      <c r="D30" s="41"/>
    </row>
    <row r="31" spans="1:5" x14ac:dyDescent="0.2">
      <c r="A31" s="57" t="s">
        <v>378</v>
      </c>
      <c r="B31" s="58" t="s">
        <v>605</v>
      </c>
      <c r="C31" s="41">
        <v>4000</v>
      </c>
      <c r="D31" s="41"/>
      <c r="E31" s="212"/>
    </row>
    <row r="32" spans="1:5" x14ac:dyDescent="0.2">
      <c r="A32" s="57" t="s">
        <v>379</v>
      </c>
      <c r="B32" s="58" t="s">
        <v>606</v>
      </c>
      <c r="C32" s="41">
        <v>13000</v>
      </c>
      <c r="D32" s="41"/>
    </row>
    <row r="33" spans="1:5" x14ac:dyDescent="0.2">
      <c r="A33" s="54">
        <v>7.5</v>
      </c>
      <c r="B33" s="56" t="s">
        <v>170</v>
      </c>
      <c r="C33" s="41"/>
      <c r="D33" s="40">
        <f>+D34</f>
        <v>206000</v>
      </c>
    </row>
    <row r="34" spans="1:5" x14ac:dyDescent="0.2">
      <c r="A34" s="54" t="s">
        <v>173</v>
      </c>
      <c r="B34" s="56" t="s">
        <v>174</v>
      </c>
      <c r="C34" s="40"/>
      <c r="D34" s="40">
        <f>SUM(C36:C44)</f>
        <v>206000</v>
      </c>
    </row>
    <row r="35" spans="1:5" x14ac:dyDescent="0.2">
      <c r="A35" s="54" t="s">
        <v>175</v>
      </c>
      <c r="B35" s="56" t="s">
        <v>176</v>
      </c>
      <c r="C35" s="40"/>
      <c r="D35" s="40"/>
    </row>
    <row r="36" spans="1:5" ht="14.25" customHeight="1" x14ac:dyDescent="0.2">
      <c r="A36" s="57" t="s">
        <v>224</v>
      </c>
      <c r="B36" s="416" t="s">
        <v>905</v>
      </c>
      <c r="C36" s="41">
        <v>90000</v>
      </c>
      <c r="D36" s="41"/>
    </row>
    <row r="37" spans="1:5" x14ac:dyDescent="0.2">
      <c r="A37" s="57" t="s">
        <v>240</v>
      </c>
      <c r="B37" s="58" t="s">
        <v>383</v>
      </c>
      <c r="C37" s="41">
        <v>7000</v>
      </c>
      <c r="D37" s="41"/>
    </row>
    <row r="38" spans="1:5" x14ac:dyDescent="0.2">
      <c r="A38" s="57" t="s">
        <v>241</v>
      </c>
      <c r="B38" s="58" t="s">
        <v>374</v>
      </c>
      <c r="C38" s="41">
        <v>50000</v>
      </c>
      <c r="D38" s="41"/>
    </row>
    <row r="39" spans="1:5" x14ac:dyDescent="0.2">
      <c r="A39" s="57" t="s">
        <v>247</v>
      </c>
      <c r="B39" s="58" t="s">
        <v>375</v>
      </c>
      <c r="C39" s="41">
        <v>5000</v>
      </c>
      <c r="D39" s="41"/>
      <c r="E39" s="13"/>
    </row>
    <row r="40" spans="1:5" x14ac:dyDescent="0.2">
      <c r="A40" s="57" t="s">
        <v>274</v>
      </c>
      <c r="B40" s="58" t="s">
        <v>376</v>
      </c>
      <c r="C40" s="41">
        <v>4000</v>
      </c>
      <c r="D40" s="41"/>
    </row>
    <row r="41" spans="1:5" x14ac:dyDescent="0.2">
      <c r="A41" s="57" t="s">
        <v>369</v>
      </c>
      <c r="B41" s="60" t="s">
        <v>588</v>
      </c>
      <c r="C41" s="41">
        <v>5000</v>
      </c>
      <c r="D41" s="41"/>
    </row>
    <row r="42" spans="1:5" x14ac:dyDescent="0.2">
      <c r="A42" s="57" t="s">
        <v>370</v>
      </c>
      <c r="B42" s="60" t="s">
        <v>907</v>
      </c>
      <c r="C42" s="41">
        <v>20000</v>
      </c>
      <c r="D42" s="41"/>
    </row>
    <row r="43" spans="1:5" x14ac:dyDescent="0.2">
      <c r="A43" s="57" t="s">
        <v>371</v>
      </c>
      <c r="B43" s="60" t="s">
        <v>591</v>
      </c>
      <c r="C43" s="41">
        <v>5000</v>
      </c>
      <c r="D43" s="41"/>
    </row>
    <row r="44" spans="1:5" x14ac:dyDescent="0.2">
      <c r="A44" s="57" t="s">
        <v>372</v>
      </c>
      <c r="B44" s="60" t="s">
        <v>904</v>
      </c>
      <c r="C44" s="41">
        <v>20000</v>
      </c>
      <c r="D44" s="41"/>
    </row>
    <row r="45" spans="1:5" x14ac:dyDescent="0.2">
      <c r="A45" s="54">
        <v>8</v>
      </c>
      <c r="B45" s="56" t="s">
        <v>74</v>
      </c>
      <c r="C45" s="40"/>
      <c r="D45" s="40">
        <f>+D46</f>
        <v>355000</v>
      </c>
    </row>
    <row r="46" spans="1:5" x14ac:dyDescent="0.2">
      <c r="A46" s="54">
        <v>8.4</v>
      </c>
      <c r="B46" s="56" t="s">
        <v>75</v>
      </c>
      <c r="C46" s="40"/>
      <c r="D46" s="40">
        <f>SUM(D47:D49)</f>
        <v>355000</v>
      </c>
    </row>
    <row r="47" spans="1:5" x14ac:dyDescent="0.2">
      <c r="A47" s="54" t="s">
        <v>76</v>
      </c>
      <c r="B47" s="56" t="s">
        <v>77</v>
      </c>
      <c r="C47" s="40"/>
      <c r="D47" s="40">
        <f>SUM(C48)</f>
        <v>340000</v>
      </c>
    </row>
    <row r="48" spans="1:5" x14ac:dyDescent="0.2">
      <c r="A48" s="57" t="s">
        <v>276</v>
      </c>
      <c r="B48" s="58" t="s">
        <v>906</v>
      </c>
      <c r="C48" s="41">
        <f>300000+40000</f>
        <v>340000</v>
      </c>
      <c r="D48" s="40"/>
    </row>
    <row r="49" spans="1:6" x14ac:dyDescent="0.2">
      <c r="A49" s="54" t="s">
        <v>106</v>
      </c>
      <c r="B49" s="56" t="s">
        <v>246</v>
      </c>
      <c r="C49" s="40"/>
      <c r="D49" s="40">
        <f>SUM(C50)</f>
        <v>15000</v>
      </c>
    </row>
    <row r="50" spans="1:6" x14ac:dyDescent="0.2">
      <c r="A50" s="45" t="s">
        <v>592</v>
      </c>
      <c r="B50" s="46" t="s">
        <v>864</v>
      </c>
      <c r="C50" s="41">
        <v>15000</v>
      </c>
      <c r="D50" s="75"/>
      <c r="E50" s="13"/>
    </row>
    <row r="53" spans="1:6" x14ac:dyDescent="0.2">
      <c r="C53" s="39">
        <f>SUM(C10:C50)</f>
        <v>717600</v>
      </c>
    </row>
    <row r="55" spans="1:6" x14ac:dyDescent="0.2">
      <c r="A55" s="5"/>
      <c r="B55" s="84"/>
      <c r="C55" s="5"/>
      <c r="D55" s="5"/>
      <c r="E55" s="5"/>
      <c r="F55" s="5"/>
    </row>
  </sheetData>
  <mergeCells count="3">
    <mergeCell ref="A1:D1"/>
    <mergeCell ref="A2:D2"/>
    <mergeCell ref="B6:C6"/>
  </mergeCells>
  <phoneticPr fontId="16" type="noConversion"/>
  <pageMargins left="0.74803149606299213" right="0.74803149606299213" top="0.98425196850393704" bottom="0.98425196850393704" header="0" footer="0"/>
  <pageSetup paperSize="9" scale="90" orientation="portrait" r:id="rId1"/>
  <headerFooter alignWithMargins="0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31"/>
  <sheetViews>
    <sheetView showGridLines="0" workbookViewId="0">
      <selection activeCell="E1" sqref="E1:F1048576"/>
    </sheetView>
  </sheetViews>
  <sheetFormatPr baseColWidth="10" defaultRowHeight="12.75" x14ac:dyDescent="0.2"/>
  <cols>
    <col min="2" max="2" width="52.140625" customWidth="1"/>
    <col min="3" max="3" width="10.140625" style="35" customWidth="1"/>
    <col min="4" max="4" width="11" customWidth="1"/>
  </cols>
  <sheetData>
    <row r="1" spans="1:5" ht="18.75" x14ac:dyDescent="0.2">
      <c r="A1" s="540" t="s">
        <v>406</v>
      </c>
      <c r="B1" s="541"/>
      <c r="C1" s="541"/>
      <c r="D1" s="541"/>
    </row>
    <row r="2" spans="1:5" ht="15" x14ac:dyDescent="0.2">
      <c r="A2" s="542" t="s">
        <v>931</v>
      </c>
      <c r="B2" s="539"/>
      <c r="C2" s="539"/>
      <c r="D2" s="539"/>
    </row>
    <row r="3" spans="1:5" x14ac:dyDescent="0.2">
      <c r="A3" s="371"/>
      <c r="B3" s="350"/>
      <c r="C3" s="350"/>
      <c r="D3" s="350"/>
    </row>
    <row r="4" spans="1:5" x14ac:dyDescent="0.2">
      <c r="A4" s="336">
        <v>3</v>
      </c>
      <c r="B4" s="345" t="s">
        <v>421</v>
      </c>
      <c r="C4" s="350"/>
      <c r="D4" s="350"/>
    </row>
    <row r="5" spans="1:5" x14ac:dyDescent="0.2">
      <c r="A5" s="483">
        <v>3.3</v>
      </c>
      <c r="B5" s="495" t="s">
        <v>96</v>
      </c>
      <c r="C5" s="350"/>
      <c r="D5" s="350"/>
    </row>
    <row r="6" spans="1:5" x14ac:dyDescent="0.2">
      <c r="A6" s="483" t="s">
        <v>440</v>
      </c>
      <c r="B6" s="495" t="s">
        <v>231</v>
      </c>
      <c r="C6" s="338"/>
      <c r="D6" s="374"/>
    </row>
    <row r="7" spans="1:5" x14ac:dyDescent="0.2">
      <c r="A7" s="11" t="s">
        <v>5</v>
      </c>
      <c r="B7" s="12" t="s">
        <v>6</v>
      </c>
      <c r="C7" s="370" t="s">
        <v>400</v>
      </c>
      <c r="D7" s="21" t="s">
        <v>7</v>
      </c>
    </row>
    <row r="8" spans="1:5" x14ac:dyDescent="0.2">
      <c r="A8" s="7"/>
      <c r="B8" s="3"/>
      <c r="C8" s="126"/>
      <c r="D8" s="33"/>
    </row>
    <row r="9" spans="1:5" x14ac:dyDescent="0.2">
      <c r="A9" s="63"/>
      <c r="B9" s="1" t="s">
        <v>7</v>
      </c>
      <c r="C9" s="40">
        <f>SUM(C10:C24)</f>
        <v>63000</v>
      </c>
      <c r="D9" s="40">
        <f>+D10+D15</f>
        <v>63000</v>
      </c>
      <c r="E9" s="2"/>
    </row>
    <row r="10" spans="1:5" x14ac:dyDescent="0.2">
      <c r="A10" s="63">
        <v>5</v>
      </c>
      <c r="B10" s="1" t="s">
        <v>8</v>
      </c>
      <c r="C10" s="40"/>
      <c r="D10" s="27">
        <f>+D11</f>
        <v>4000</v>
      </c>
    </row>
    <row r="11" spans="1:5" x14ac:dyDescent="0.2">
      <c r="A11" s="63">
        <v>5.3</v>
      </c>
      <c r="B11" s="1" t="s">
        <v>14</v>
      </c>
      <c r="C11" s="40" t="s">
        <v>147</v>
      </c>
      <c r="D11" s="27">
        <f>+D12</f>
        <v>4000</v>
      </c>
    </row>
    <row r="12" spans="1:5" x14ac:dyDescent="0.2">
      <c r="A12" s="63" t="s">
        <v>23</v>
      </c>
      <c r="B12" s="1" t="s">
        <v>4</v>
      </c>
      <c r="C12" s="40"/>
      <c r="D12" s="27">
        <f>SUM(C13:C15)</f>
        <v>4000</v>
      </c>
    </row>
    <row r="13" spans="1:5" ht="22.5" customHeight="1" x14ac:dyDescent="0.2">
      <c r="A13" s="57" t="s">
        <v>26</v>
      </c>
      <c r="B13" s="60" t="s">
        <v>594</v>
      </c>
      <c r="C13" s="41">
        <v>1500</v>
      </c>
      <c r="D13" s="41"/>
    </row>
    <row r="14" spans="1:5" x14ac:dyDescent="0.2">
      <c r="A14" s="57" t="s">
        <v>595</v>
      </c>
      <c r="B14" s="58" t="s">
        <v>596</v>
      </c>
      <c r="C14" s="41">
        <v>2500</v>
      </c>
      <c r="D14" s="41"/>
    </row>
    <row r="15" spans="1:5" x14ac:dyDescent="0.2">
      <c r="A15" s="63">
        <v>7</v>
      </c>
      <c r="B15" s="1" t="s">
        <v>170</v>
      </c>
      <c r="C15" s="40"/>
      <c r="D15" s="27">
        <f>SUM(C19:C24)</f>
        <v>59000</v>
      </c>
    </row>
    <row r="16" spans="1:5" x14ac:dyDescent="0.2">
      <c r="A16" s="63">
        <v>7.3</v>
      </c>
      <c r="B16" s="1" t="s">
        <v>197</v>
      </c>
      <c r="C16" s="40"/>
      <c r="D16" s="27"/>
    </row>
    <row r="17" spans="1:4" x14ac:dyDescent="0.2">
      <c r="A17" s="63" t="s">
        <v>141</v>
      </c>
      <c r="B17" s="1" t="s">
        <v>198</v>
      </c>
      <c r="C17" s="40"/>
      <c r="D17" s="27"/>
    </row>
    <row r="18" spans="1:4" x14ac:dyDescent="0.2">
      <c r="A18" s="63" t="s">
        <v>143</v>
      </c>
      <c r="B18" s="1" t="s">
        <v>593</v>
      </c>
      <c r="C18" s="40"/>
      <c r="D18" s="27"/>
    </row>
    <row r="19" spans="1:4" ht="22.5" x14ac:dyDescent="0.2">
      <c r="A19" s="52" t="s">
        <v>217</v>
      </c>
      <c r="B19" s="62" t="s">
        <v>597</v>
      </c>
      <c r="C19" s="53">
        <v>3000</v>
      </c>
      <c r="D19" s="53"/>
    </row>
    <row r="20" spans="1:4" ht="27" customHeight="1" x14ac:dyDescent="0.2">
      <c r="A20" s="52" t="s">
        <v>218</v>
      </c>
      <c r="B20" s="62" t="s">
        <v>598</v>
      </c>
      <c r="C20" s="53">
        <v>10000</v>
      </c>
      <c r="D20" s="53"/>
    </row>
    <row r="21" spans="1:4" ht="22.5" x14ac:dyDescent="0.2">
      <c r="A21" s="52" t="s">
        <v>379</v>
      </c>
      <c r="B21" s="62" t="s">
        <v>377</v>
      </c>
      <c r="C21" s="53">
        <v>6000</v>
      </c>
      <c r="D21" s="53"/>
    </row>
    <row r="22" spans="1:4" ht="22.5" x14ac:dyDescent="0.2">
      <c r="A22" s="52" t="s">
        <v>468</v>
      </c>
      <c r="B22" s="62" t="s">
        <v>599</v>
      </c>
      <c r="C22" s="498">
        <v>25000</v>
      </c>
      <c r="D22" s="53"/>
    </row>
    <row r="23" spans="1:4" ht="25.5" customHeight="1" x14ac:dyDescent="0.2">
      <c r="A23" s="52" t="s">
        <v>469</v>
      </c>
      <c r="B23" s="62" t="s">
        <v>600</v>
      </c>
      <c r="C23" s="53">
        <v>5000</v>
      </c>
      <c r="D23" s="53"/>
    </row>
    <row r="24" spans="1:4" ht="25.5" customHeight="1" x14ac:dyDescent="0.2">
      <c r="A24" s="52" t="s">
        <v>601</v>
      </c>
      <c r="B24" s="62" t="s">
        <v>948</v>
      </c>
      <c r="C24" s="53">
        <v>10000</v>
      </c>
      <c r="D24" s="53"/>
    </row>
    <row r="25" spans="1:4" x14ac:dyDescent="0.2">
      <c r="B25" s="104"/>
    </row>
    <row r="26" spans="1:4" x14ac:dyDescent="0.2">
      <c r="B26" s="104"/>
    </row>
    <row r="27" spans="1:4" x14ac:dyDescent="0.2">
      <c r="B27" s="104"/>
      <c r="C27" s="39">
        <f>SUM(C10:C24)</f>
        <v>63000</v>
      </c>
    </row>
    <row r="28" spans="1:4" x14ac:dyDescent="0.2">
      <c r="B28" s="104"/>
    </row>
    <row r="29" spans="1:4" x14ac:dyDescent="0.2">
      <c r="B29" s="104"/>
    </row>
    <row r="30" spans="1:4" x14ac:dyDescent="0.2">
      <c r="B30" s="104"/>
    </row>
    <row r="31" spans="1:4" x14ac:dyDescent="0.2">
      <c r="B31" s="104"/>
    </row>
  </sheetData>
  <mergeCells count="2">
    <mergeCell ref="A1:D1"/>
    <mergeCell ref="A2:D2"/>
  </mergeCells>
  <phoneticPr fontId="16" type="noConversion"/>
  <pageMargins left="0.75" right="0.75" top="1" bottom="1" header="0" footer="0"/>
  <pageSetup paperSize="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F90"/>
  <sheetViews>
    <sheetView showGridLines="0" workbookViewId="0">
      <selection activeCell="E1" sqref="E1:F1048576"/>
    </sheetView>
  </sheetViews>
  <sheetFormatPr baseColWidth="10" defaultRowHeight="12.75" x14ac:dyDescent="0.2"/>
  <cols>
    <col min="1" max="1" width="12.7109375" style="85" customWidth="1"/>
    <col min="2" max="2" width="45.7109375" style="4" customWidth="1"/>
    <col min="3" max="3" width="11.140625" style="35" customWidth="1"/>
    <col min="4" max="4" width="12.85546875" style="4" customWidth="1"/>
    <col min="5" max="16384" width="11.42578125" style="4"/>
  </cols>
  <sheetData>
    <row r="1" spans="1:6" ht="18.75" x14ac:dyDescent="0.2">
      <c r="A1" s="540" t="s">
        <v>406</v>
      </c>
      <c r="B1" s="541"/>
      <c r="C1" s="541"/>
      <c r="D1" s="541"/>
    </row>
    <row r="2" spans="1:6" ht="15" x14ac:dyDescent="0.2">
      <c r="A2" s="542" t="s">
        <v>931</v>
      </c>
      <c r="B2" s="539"/>
      <c r="C2" s="539"/>
      <c r="D2" s="539"/>
    </row>
    <row r="3" spans="1:6" x14ac:dyDescent="0.2">
      <c r="A3" s="371"/>
      <c r="B3" s="350"/>
      <c r="C3" s="350"/>
      <c r="D3" s="350"/>
    </row>
    <row r="4" spans="1:6" x14ac:dyDescent="0.2">
      <c r="A4" s="336">
        <v>3</v>
      </c>
      <c r="B4" s="345" t="s">
        <v>421</v>
      </c>
      <c r="C4" s="350"/>
      <c r="D4" s="350"/>
    </row>
    <row r="5" spans="1:6" x14ac:dyDescent="0.2">
      <c r="A5" s="483">
        <v>3.4</v>
      </c>
      <c r="B5" s="337" t="s">
        <v>453</v>
      </c>
      <c r="C5" s="350"/>
      <c r="D5" s="350"/>
    </row>
    <row r="6" spans="1:6" ht="15" x14ac:dyDescent="0.2">
      <c r="A6" s="336" t="s">
        <v>454</v>
      </c>
      <c r="B6" s="338" t="s">
        <v>453</v>
      </c>
      <c r="C6" s="356"/>
      <c r="D6" s="375"/>
    </row>
    <row r="7" spans="1:6" x14ac:dyDescent="0.2">
      <c r="A7" s="19" t="s">
        <v>5</v>
      </c>
      <c r="B7" s="21" t="s">
        <v>6</v>
      </c>
      <c r="C7" s="376" t="s">
        <v>400</v>
      </c>
      <c r="D7" s="21" t="s">
        <v>7</v>
      </c>
      <c r="E7" s="18"/>
      <c r="F7" s="18"/>
    </row>
    <row r="8" spans="1:6" x14ac:dyDescent="0.2">
      <c r="A8" s="114"/>
      <c r="B8" s="56"/>
      <c r="C8" s="132"/>
      <c r="D8" s="33"/>
    </row>
    <row r="9" spans="1:6" x14ac:dyDescent="0.2">
      <c r="A9" s="54"/>
      <c r="B9" s="56" t="s">
        <v>7</v>
      </c>
      <c r="C9" s="40">
        <f>SUM(C10:C74)</f>
        <v>144675.88</v>
      </c>
      <c r="D9" s="40">
        <f>+D10+D59+D71</f>
        <v>144675.88</v>
      </c>
      <c r="E9" s="18"/>
    </row>
    <row r="10" spans="1:6" x14ac:dyDescent="0.2">
      <c r="A10" s="54">
        <v>5</v>
      </c>
      <c r="B10" s="56" t="s">
        <v>8</v>
      </c>
      <c r="C10" s="40"/>
      <c r="D10" s="40">
        <f>D11+D35</f>
        <v>120375.87999999999</v>
      </c>
    </row>
    <row r="11" spans="1:6" x14ac:dyDescent="0.2">
      <c r="A11" s="42">
        <v>5.0999999999999996</v>
      </c>
      <c r="B11" s="43" t="s">
        <v>9</v>
      </c>
      <c r="C11" s="40"/>
      <c r="D11" s="40">
        <f>D12+D16+D19+D22+D25+D30</f>
        <v>86947.87999999999</v>
      </c>
    </row>
    <row r="12" spans="1:6" x14ac:dyDescent="0.2">
      <c r="A12" s="42" t="s">
        <v>10</v>
      </c>
      <c r="B12" s="43" t="s">
        <v>11</v>
      </c>
      <c r="C12" s="40"/>
      <c r="D12" s="40">
        <f>SUM(C13:C15)</f>
        <v>61931.67</v>
      </c>
    </row>
    <row r="13" spans="1:6" x14ac:dyDescent="0.2">
      <c r="A13" s="45" t="s">
        <v>251</v>
      </c>
      <c r="B13" s="46" t="s">
        <v>833</v>
      </c>
      <c r="C13" s="41"/>
      <c r="D13" s="40"/>
    </row>
    <row r="14" spans="1:6" x14ac:dyDescent="0.2">
      <c r="A14" s="45" t="s">
        <v>183</v>
      </c>
      <c r="B14" s="46" t="s">
        <v>832</v>
      </c>
      <c r="C14" s="41">
        <v>32251.200000000001</v>
      </c>
      <c r="D14" s="41"/>
      <c r="E14" s="18"/>
    </row>
    <row r="15" spans="1:6" x14ac:dyDescent="0.2">
      <c r="A15" s="45" t="s">
        <v>760</v>
      </c>
      <c r="B15" s="46" t="s">
        <v>831</v>
      </c>
      <c r="C15" s="47">
        <v>29680.47</v>
      </c>
      <c r="D15" s="44"/>
      <c r="E15" s="467"/>
    </row>
    <row r="16" spans="1:6" x14ac:dyDescent="0.2">
      <c r="A16" s="42" t="s">
        <v>252</v>
      </c>
      <c r="B16" s="43" t="s">
        <v>253</v>
      </c>
      <c r="C16" s="47"/>
      <c r="D16" s="44">
        <f>SUM(C17:C18)</f>
        <v>7576.57</v>
      </c>
    </row>
    <row r="17" spans="1:4" x14ac:dyDescent="0.2">
      <c r="A17" s="45" t="s">
        <v>254</v>
      </c>
      <c r="B17" s="46" t="s">
        <v>255</v>
      </c>
      <c r="C17" s="47">
        <f>2687.6+2473.37</f>
        <v>5160.9699999999993</v>
      </c>
      <c r="D17" s="47"/>
    </row>
    <row r="18" spans="1:4" x14ac:dyDescent="0.2">
      <c r="A18" s="45" t="s">
        <v>256</v>
      </c>
      <c r="B18" s="46" t="s">
        <v>257</v>
      </c>
      <c r="C18" s="47">
        <f>805.2+1610.4</f>
        <v>2415.6000000000004</v>
      </c>
      <c r="D18" s="44"/>
    </row>
    <row r="19" spans="1:4" x14ac:dyDescent="0.2">
      <c r="A19" s="54" t="s">
        <v>349</v>
      </c>
      <c r="B19" s="56" t="s">
        <v>350</v>
      </c>
      <c r="C19" s="47"/>
      <c r="D19" s="44">
        <f>SUM(C20:C21)</f>
        <v>3360</v>
      </c>
    </row>
    <row r="20" spans="1:4" x14ac:dyDescent="0.2">
      <c r="A20" s="57" t="s">
        <v>508</v>
      </c>
      <c r="B20" s="58" t="s">
        <v>509</v>
      </c>
      <c r="C20" s="41">
        <v>480</v>
      </c>
      <c r="D20" s="40"/>
    </row>
    <row r="21" spans="1:4" x14ac:dyDescent="0.2">
      <c r="A21" s="57" t="s">
        <v>351</v>
      </c>
      <c r="B21" s="58" t="s">
        <v>830</v>
      </c>
      <c r="C21" s="41">
        <v>2880</v>
      </c>
      <c r="D21" s="40"/>
    </row>
    <row r="22" spans="1:4" x14ac:dyDescent="0.2">
      <c r="A22" s="42" t="s">
        <v>184</v>
      </c>
      <c r="B22" s="59" t="s">
        <v>185</v>
      </c>
      <c r="C22" s="41"/>
      <c r="D22" s="40">
        <f>SUM(C23:C24)</f>
        <v>555.23</v>
      </c>
    </row>
    <row r="23" spans="1:4" x14ac:dyDescent="0.2">
      <c r="A23" s="45" t="s">
        <v>277</v>
      </c>
      <c r="B23" s="60" t="s">
        <v>719</v>
      </c>
      <c r="C23" s="41">
        <v>289.87</v>
      </c>
      <c r="D23" s="40"/>
    </row>
    <row r="24" spans="1:4" x14ac:dyDescent="0.2">
      <c r="A24" s="45" t="s">
        <v>479</v>
      </c>
      <c r="B24" s="46" t="s">
        <v>480</v>
      </c>
      <c r="C24" s="61">
        <v>265.36</v>
      </c>
      <c r="D24" s="58"/>
    </row>
    <row r="25" spans="1:4" x14ac:dyDescent="0.2">
      <c r="A25" s="42" t="s">
        <v>187</v>
      </c>
      <c r="B25" s="43" t="s">
        <v>186</v>
      </c>
      <c r="C25" s="47"/>
      <c r="D25" s="44">
        <f>+C26+C27</f>
        <v>1000</v>
      </c>
    </row>
    <row r="26" spans="1:4" x14ac:dyDescent="0.2">
      <c r="A26" s="45" t="s">
        <v>766</v>
      </c>
      <c r="B26" s="46" t="s">
        <v>829</v>
      </c>
      <c r="C26" s="48"/>
      <c r="D26" s="49"/>
    </row>
    <row r="27" spans="1:4" x14ac:dyDescent="0.2">
      <c r="A27" s="45" t="s">
        <v>258</v>
      </c>
      <c r="B27" s="46" t="s">
        <v>259</v>
      </c>
      <c r="C27" s="48">
        <v>1000</v>
      </c>
      <c r="D27" s="49"/>
    </row>
    <row r="28" spans="1:4" x14ac:dyDescent="0.2">
      <c r="A28" s="45" t="s">
        <v>769</v>
      </c>
      <c r="B28" s="46" t="s">
        <v>676</v>
      </c>
      <c r="C28" s="48"/>
      <c r="D28" s="49"/>
    </row>
    <row r="29" spans="1:4" x14ac:dyDescent="0.2">
      <c r="A29" s="45" t="s">
        <v>542</v>
      </c>
      <c r="B29" s="46" t="s">
        <v>543</v>
      </c>
      <c r="C29" s="48"/>
      <c r="D29" s="49"/>
    </row>
    <row r="30" spans="1:4" x14ac:dyDescent="0.2">
      <c r="A30" s="42" t="s">
        <v>12</v>
      </c>
      <c r="B30" s="43" t="s">
        <v>13</v>
      </c>
      <c r="C30" s="48"/>
      <c r="D30" s="216">
        <f>SUM(C31:C32)</f>
        <v>12524.41</v>
      </c>
    </row>
    <row r="31" spans="1:4" x14ac:dyDescent="0.2">
      <c r="A31" s="45" t="s">
        <v>260</v>
      </c>
      <c r="B31" s="46" t="s">
        <v>261</v>
      </c>
      <c r="C31" s="48">
        <f>3757.26+3606.18</f>
        <v>7363.4400000000005</v>
      </c>
      <c r="D31" s="49"/>
    </row>
    <row r="32" spans="1:4" x14ac:dyDescent="0.2">
      <c r="A32" s="45" t="s">
        <v>510</v>
      </c>
      <c r="B32" s="46" t="s">
        <v>700</v>
      </c>
      <c r="C32" s="48">
        <f>2687.6+2473.37</f>
        <v>5160.9699999999993</v>
      </c>
      <c r="D32" s="49"/>
    </row>
    <row r="33" spans="1:4" x14ac:dyDescent="0.2">
      <c r="A33" s="42" t="s">
        <v>302</v>
      </c>
      <c r="B33" s="43" t="s">
        <v>303</v>
      </c>
      <c r="C33" s="48"/>
      <c r="D33" s="49"/>
    </row>
    <row r="34" spans="1:4" x14ac:dyDescent="0.2">
      <c r="A34" s="45" t="s">
        <v>768</v>
      </c>
      <c r="B34" s="46" t="s">
        <v>776</v>
      </c>
      <c r="C34" s="48"/>
      <c r="D34" s="49"/>
    </row>
    <row r="35" spans="1:4" x14ac:dyDescent="0.2">
      <c r="A35" s="54">
        <v>5.3</v>
      </c>
      <c r="B35" s="56" t="s">
        <v>14</v>
      </c>
      <c r="C35" s="40"/>
      <c r="D35" s="40">
        <f>+D36+D45+D48+D52+D39+D50</f>
        <v>33428</v>
      </c>
    </row>
    <row r="36" spans="1:4" x14ac:dyDescent="0.2">
      <c r="A36" s="54" t="s">
        <v>15</v>
      </c>
      <c r="B36" s="56" t="s">
        <v>16</v>
      </c>
      <c r="C36" s="40"/>
      <c r="D36" s="40">
        <f>SUM(C37:C38)</f>
        <v>9840</v>
      </c>
    </row>
    <row r="37" spans="1:4" x14ac:dyDescent="0.2">
      <c r="A37" s="45" t="s">
        <v>402</v>
      </c>
      <c r="B37" s="46" t="s">
        <v>403</v>
      </c>
      <c r="C37" s="41">
        <v>1200</v>
      </c>
      <c r="D37" s="40"/>
    </row>
    <row r="38" spans="1:4" x14ac:dyDescent="0.2">
      <c r="A38" s="57" t="s">
        <v>17</v>
      </c>
      <c r="B38" s="58" t="s">
        <v>18</v>
      </c>
      <c r="C38" s="41">
        <v>8640</v>
      </c>
      <c r="D38" s="41"/>
    </row>
    <row r="39" spans="1:4" x14ac:dyDescent="0.2">
      <c r="A39" s="42" t="s">
        <v>23</v>
      </c>
      <c r="B39" s="43" t="s">
        <v>4</v>
      </c>
      <c r="C39" s="44" t="s">
        <v>147</v>
      </c>
      <c r="D39" s="44">
        <f>SUM(C40:C44)</f>
        <v>14776</v>
      </c>
    </row>
    <row r="40" spans="1:4" ht="33.75" x14ac:dyDescent="0.2">
      <c r="A40" s="45" t="s">
        <v>26</v>
      </c>
      <c r="B40" s="46" t="s">
        <v>580</v>
      </c>
      <c r="C40" s="47"/>
      <c r="D40" s="44"/>
    </row>
    <row r="41" spans="1:4" x14ac:dyDescent="0.2">
      <c r="A41" s="45" t="s">
        <v>29</v>
      </c>
      <c r="B41" s="46" t="s">
        <v>489</v>
      </c>
      <c r="C41" s="47"/>
      <c r="D41" s="44"/>
    </row>
    <row r="42" spans="1:4" x14ac:dyDescent="0.2">
      <c r="A42" s="45" t="s">
        <v>361</v>
      </c>
      <c r="B42" s="46" t="s">
        <v>865</v>
      </c>
      <c r="C42" s="47">
        <v>6600</v>
      </c>
      <c r="D42" s="44"/>
    </row>
    <row r="43" spans="1:4" ht="22.5" x14ac:dyDescent="0.2">
      <c r="A43" s="45" t="s">
        <v>363</v>
      </c>
      <c r="B43" s="46" t="s">
        <v>578</v>
      </c>
      <c r="C43" s="47">
        <v>2800</v>
      </c>
      <c r="D43" s="44"/>
    </row>
    <row r="44" spans="1:4" s="115" customFormat="1" x14ac:dyDescent="0.2">
      <c r="A44" s="45" t="s">
        <v>539</v>
      </c>
      <c r="B44" s="199" t="s">
        <v>579</v>
      </c>
      <c r="C44" s="67">
        <v>5376</v>
      </c>
      <c r="D44" s="200"/>
    </row>
    <row r="45" spans="1:4" x14ac:dyDescent="0.2">
      <c r="A45" s="54" t="s">
        <v>33</v>
      </c>
      <c r="B45" s="56" t="s">
        <v>34</v>
      </c>
      <c r="C45" s="40"/>
      <c r="D45" s="40">
        <f>+C46+C47</f>
        <v>700</v>
      </c>
    </row>
    <row r="46" spans="1:4" x14ac:dyDescent="0.2">
      <c r="A46" s="57" t="s">
        <v>35</v>
      </c>
      <c r="B46" s="58" t="s">
        <v>840</v>
      </c>
      <c r="C46" s="41">
        <v>350</v>
      </c>
      <c r="D46" s="41"/>
    </row>
    <row r="47" spans="1:4" x14ac:dyDescent="0.2">
      <c r="A47" s="57" t="s">
        <v>37</v>
      </c>
      <c r="B47" s="58" t="s">
        <v>841</v>
      </c>
      <c r="C47" s="41">
        <v>350</v>
      </c>
      <c r="D47" s="41"/>
    </row>
    <row r="48" spans="1:4" x14ac:dyDescent="0.2">
      <c r="A48" s="54" t="s">
        <v>39</v>
      </c>
      <c r="B48" s="56" t="s">
        <v>40</v>
      </c>
      <c r="C48" s="40"/>
      <c r="D48" s="40">
        <f>SUM(C49:C49)</f>
        <v>1000</v>
      </c>
    </row>
    <row r="49" spans="1:4" x14ac:dyDescent="0.2">
      <c r="A49" s="57" t="s">
        <v>43</v>
      </c>
      <c r="B49" s="58" t="s">
        <v>866</v>
      </c>
      <c r="C49" s="41">
        <v>1000</v>
      </c>
      <c r="D49" s="41"/>
    </row>
    <row r="50" spans="1:4" ht="22.5" x14ac:dyDescent="0.2">
      <c r="A50" s="42" t="s">
        <v>46</v>
      </c>
      <c r="B50" s="43" t="s">
        <v>467</v>
      </c>
      <c r="C50" s="47"/>
      <c r="D50" s="40">
        <f>+C51</f>
        <v>0</v>
      </c>
    </row>
    <row r="51" spans="1:4" x14ac:dyDescent="0.2">
      <c r="A51" s="45" t="s">
        <v>49</v>
      </c>
      <c r="B51" s="46" t="s">
        <v>466</v>
      </c>
      <c r="C51" s="47"/>
      <c r="D51" s="41"/>
    </row>
    <row r="52" spans="1:4" x14ac:dyDescent="0.2">
      <c r="A52" s="54" t="s">
        <v>55</v>
      </c>
      <c r="B52" s="56" t="s">
        <v>56</v>
      </c>
      <c r="C52" s="41"/>
      <c r="D52" s="40">
        <f>SUM(C53:C58)</f>
        <v>7112</v>
      </c>
    </row>
    <row r="53" spans="1:4" x14ac:dyDescent="0.2">
      <c r="A53" s="57" t="s">
        <v>59</v>
      </c>
      <c r="B53" s="58" t="s">
        <v>837</v>
      </c>
      <c r="C53" s="41">
        <f>456+676</f>
        <v>1132</v>
      </c>
      <c r="D53" s="154"/>
    </row>
    <row r="54" spans="1:4" x14ac:dyDescent="0.2">
      <c r="A54" s="57" t="s">
        <v>63</v>
      </c>
      <c r="B54" s="58" t="s">
        <v>179</v>
      </c>
      <c r="C54" s="41">
        <v>380</v>
      </c>
      <c r="D54" s="154"/>
    </row>
    <row r="55" spans="1:4" x14ac:dyDescent="0.2">
      <c r="A55" s="57" t="s">
        <v>65</v>
      </c>
      <c r="B55" s="58" t="s">
        <v>636</v>
      </c>
      <c r="C55" s="41">
        <v>300</v>
      </c>
      <c r="D55" s="41"/>
    </row>
    <row r="56" spans="1:4" x14ac:dyDescent="0.2">
      <c r="A56" s="57" t="s">
        <v>180</v>
      </c>
      <c r="B56" s="60" t="s">
        <v>95</v>
      </c>
      <c r="C56" s="41">
        <v>700</v>
      </c>
      <c r="D56" s="41"/>
    </row>
    <row r="57" spans="1:4" ht="22.5" x14ac:dyDescent="0.2">
      <c r="A57" s="52" t="s">
        <v>67</v>
      </c>
      <c r="B57" s="46" t="s">
        <v>68</v>
      </c>
      <c r="C57" s="41">
        <v>600</v>
      </c>
      <c r="D57" s="41"/>
    </row>
    <row r="58" spans="1:4" ht="37.5" customHeight="1" x14ac:dyDescent="0.2">
      <c r="A58" s="57" t="s">
        <v>225</v>
      </c>
      <c r="B58" s="60" t="s">
        <v>581</v>
      </c>
      <c r="C58" s="41">
        <v>4000</v>
      </c>
      <c r="D58" s="41"/>
    </row>
    <row r="59" spans="1:4" x14ac:dyDescent="0.2">
      <c r="A59" s="54">
        <v>7</v>
      </c>
      <c r="B59" s="56" t="s">
        <v>86</v>
      </c>
      <c r="C59" s="40"/>
      <c r="D59" s="40">
        <f>+D61</f>
        <v>24300</v>
      </c>
    </row>
    <row r="60" spans="1:4" x14ac:dyDescent="0.2">
      <c r="A60" s="54">
        <v>7.5</v>
      </c>
      <c r="B60" s="56" t="s">
        <v>87</v>
      </c>
      <c r="C60" s="40"/>
      <c r="D60" s="40">
        <f>+D61</f>
        <v>24300</v>
      </c>
    </row>
    <row r="61" spans="1:4" x14ac:dyDescent="0.2">
      <c r="A61" s="54" t="s">
        <v>88</v>
      </c>
      <c r="B61" s="56" t="s">
        <v>89</v>
      </c>
      <c r="C61" s="40"/>
      <c r="D61" s="40">
        <f>SUM(C65:C70)</f>
        <v>24300</v>
      </c>
    </row>
    <row r="62" spans="1:4" hidden="1" x14ac:dyDescent="0.2">
      <c r="A62" s="57" t="s">
        <v>105</v>
      </c>
      <c r="B62" s="58" t="s">
        <v>312</v>
      </c>
      <c r="C62" s="41">
        <v>0</v>
      </c>
      <c r="D62" s="41"/>
    </row>
    <row r="63" spans="1:4" x14ac:dyDescent="0.2">
      <c r="A63" s="54" t="s">
        <v>103</v>
      </c>
      <c r="B63" s="56" t="s">
        <v>104</v>
      </c>
      <c r="C63" s="41"/>
      <c r="D63" s="41"/>
    </row>
    <row r="64" spans="1:4" s="28" customFormat="1" x14ac:dyDescent="0.2">
      <c r="A64" s="52" t="s">
        <v>105</v>
      </c>
      <c r="B64" s="58" t="s">
        <v>490</v>
      </c>
      <c r="C64" s="201"/>
      <c r="D64" s="53"/>
    </row>
    <row r="65" spans="1:4" s="28" customFormat="1" ht="22.5" x14ac:dyDescent="0.2">
      <c r="A65" s="52" t="s">
        <v>136</v>
      </c>
      <c r="B65" s="60" t="s">
        <v>462</v>
      </c>
      <c r="C65" s="231">
        <v>3000</v>
      </c>
      <c r="D65" s="53"/>
    </row>
    <row r="66" spans="1:4" s="28" customFormat="1" x14ac:dyDescent="0.2">
      <c r="A66" s="52" t="s">
        <v>137</v>
      </c>
      <c r="B66" s="64" t="s">
        <v>582</v>
      </c>
      <c r="C66" s="231">
        <v>800</v>
      </c>
      <c r="D66" s="53"/>
    </row>
    <row r="67" spans="1:4" s="28" customFormat="1" x14ac:dyDescent="0.2">
      <c r="A67" s="52" t="s">
        <v>138</v>
      </c>
      <c r="B67" s="60" t="s">
        <v>882</v>
      </c>
      <c r="C67" s="499">
        <v>3500</v>
      </c>
      <c r="D67" s="53"/>
    </row>
    <row r="68" spans="1:4" s="28" customFormat="1" x14ac:dyDescent="0.2">
      <c r="A68" s="52" t="s">
        <v>290</v>
      </c>
      <c r="B68" s="160" t="s">
        <v>536</v>
      </c>
      <c r="C68" s="231">
        <v>2000</v>
      </c>
      <c r="D68" s="53"/>
    </row>
    <row r="69" spans="1:4" s="28" customFormat="1" x14ac:dyDescent="0.2">
      <c r="A69" s="52" t="s">
        <v>389</v>
      </c>
      <c r="B69" s="160" t="s">
        <v>312</v>
      </c>
      <c r="C69" s="231">
        <v>10000</v>
      </c>
      <c r="D69" s="53"/>
    </row>
    <row r="70" spans="1:4" s="28" customFormat="1" x14ac:dyDescent="0.2">
      <c r="A70" s="52" t="s">
        <v>949</v>
      </c>
      <c r="B70" s="160" t="s">
        <v>950</v>
      </c>
      <c r="C70" s="231">
        <v>5000</v>
      </c>
      <c r="D70" s="53"/>
    </row>
    <row r="71" spans="1:4" s="28" customFormat="1" x14ac:dyDescent="0.2">
      <c r="A71" s="50">
        <v>8</v>
      </c>
      <c r="B71" s="43" t="s">
        <v>74</v>
      </c>
      <c r="C71" s="53"/>
      <c r="D71" s="51">
        <f>+D72</f>
        <v>0</v>
      </c>
    </row>
    <row r="72" spans="1:4" s="28" customFormat="1" x14ac:dyDescent="0.2">
      <c r="A72" s="50">
        <v>8.4</v>
      </c>
      <c r="B72" s="43" t="s">
        <v>75</v>
      </c>
      <c r="C72" s="53"/>
      <c r="D72" s="51">
        <f>+D73</f>
        <v>0</v>
      </c>
    </row>
    <row r="73" spans="1:4" s="28" customFormat="1" x14ac:dyDescent="0.2">
      <c r="A73" s="50" t="s">
        <v>76</v>
      </c>
      <c r="B73" s="43" t="s">
        <v>77</v>
      </c>
      <c r="C73" s="53"/>
      <c r="D73" s="51">
        <f>+C74</f>
        <v>0</v>
      </c>
    </row>
    <row r="74" spans="1:4" s="28" customFormat="1" x14ac:dyDescent="0.2">
      <c r="A74" s="52" t="s">
        <v>276</v>
      </c>
      <c r="B74" s="62" t="s">
        <v>189</v>
      </c>
      <c r="C74" s="53"/>
      <c r="D74" s="53"/>
    </row>
    <row r="75" spans="1:4" x14ac:dyDescent="0.2">
      <c r="C75" s="39"/>
      <c r="D75" s="18"/>
    </row>
    <row r="76" spans="1:4" x14ac:dyDescent="0.2">
      <c r="C76" s="39">
        <f>SUM(C10:C74)</f>
        <v>144675.88</v>
      </c>
      <c r="D76" s="18"/>
    </row>
    <row r="77" spans="1:4" x14ac:dyDescent="0.2">
      <c r="C77" s="39"/>
      <c r="D77" s="18"/>
    </row>
    <row r="78" spans="1:4" x14ac:dyDescent="0.2">
      <c r="C78" s="39"/>
      <c r="D78" s="18"/>
    </row>
    <row r="79" spans="1:4" x14ac:dyDescent="0.2">
      <c r="C79" s="39"/>
      <c r="D79" s="18"/>
    </row>
    <row r="80" spans="1:4" x14ac:dyDescent="0.2">
      <c r="C80" s="39"/>
      <c r="D80" s="18"/>
    </row>
    <row r="81" spans="3:4" x14ac:dyDescent="0.2">
      <c r="C81" s="39"/>
      <c r="D81" s="18"/>
    </row>
    <row r="82" spans="3:4" x14ac:dyDescent="0.2">
      <c r="C82" s="39"/>
      <c r="D82" s="18"/>
    </row>
    <row r="83" spans="3:4" x14ac:dyDescent="0.2">
      <c r="C83" s="39"/>
      <c r="D83" s="18"/>
    </row>
    <row r="84" spans="3:4" x14ac:dyDescent="0.2">
      <c r="C84" s="39"/>
      <c r="D84" s="18"/>
    </row>
    <row r="85" spans="3:4" x14ac:dyDescent="0.2">
      <c r="C85" s="39"/>
      <c r="D85" s="18"/>
    </row>
    <row r="86" spans="3:4" x14ac:dyDescent="0.2">
      <c r="C86" s="39"/>
      <c r="D86" s="18"/>
    </row>
    <row r="87" spans="3:4" x14ac:dyDescent="0.2">
      <c r="C87" s="39"/>
      <c r="D87" s="18"/>
    </row>
    <row r="88" spans="3:4" x14ac:dyDescent="0.2">
      <c r="C88" s="39"/>
      <c r="D88" s="18"/>
    </row>
    <row r="89" spans="3:4" x14ac:dyDescent="0.2">
      <c r="C89" s="39"/>
      <c r="D89" s="18"/>
    </row>
    <row r="90" spans="3:4" x14ac:dyDescent="0.2">
      <c r="C90" s="39"/>
      <c r="D90" s="18"/>
    </row>
  </sheetData>
  <mergeCells count="2">
    <mergeCell ref="A1:D1"/>
    <mergeCell ref="A2:D2"/>
  </mergeCells>
  <phoneticPr fontId="0" type="noConversion"/>
  <pageMargins left="1.1811023622047245" right="0.75" top="1.1811023622047245" bottom="0.59055118110236227" header="0" footer="0"/>
  <pageSetup paperSize="9" scale="78" orientation="portrait" verticalDpi="12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F72"/>
  <sheetViews>
    <sheetView showGridLines="0" workbookViewId="0">
      <selection activeCell="B77" sqref="B77"/>
    </sheetView>
  </sheetViews>
  <sheetFormatPr baseColWidth="10" defaultRowHeight="12.75" x14ac:dyDescent="0.2"/>
  <cols>
    <col min="1" max="1" width="12.7109375" style="85" customWidth="1"/>
    <col min="2" max="2" width="45.7109375" style="4" customWidth="1"/>
    <col min="3" max="3" width="10.28515625" style="35" bestFit="1" customWidth="1"/>
    <col min="4" max="4" width="10.42578125" style="4" customWidth="1"/>
    <col min="5" max="16384" width="11.42578125" style="4"/>
  </cols>
  <sheetData>
    <row r="1" spans="1:6" ht="18.75" x14ac:dyDescent="0.2">
      <c r="A1" s="540" t="s">
        <v>406</v>
      </c>
      <c r="B1" s="541"/>
      <c r="C1" s="541"/>
      <c r="D1" s="541"/>
    </row>
    <row r="2" spans="1:6" ht="15" x14ac:dyDescent="0.2">
      <c r="A2" s="542" t="s">
        <v>931</v>
      </c>
      <c r="B2" s="539"/>
      <c r="C2" s="539"/>
      <c r="D2" s="539"/>
    </row>
    <row r="3" spans="1:6" ht="18" customHeight="1" x14ac:dyDescent="0.2">
      <c r="A3" s="336">
        <v>3</v>
      </c>
      <c r="B3" s="345" t="s">
        <v>421</v>
      </c>
      <c r="C3" s="350"/>
      <c r="D3" s="350"/>
    </row>
    <row r="4" spans="1:6" ht="18" customHeight="1" x14ac:dyDescent="0.2">
      <c r="A4" s="483">
        <v>3.5</v>
      </c>
      <c r="B4" s="487" t="s">
        <v>430</v>
      </c>
      <c r="C4" s="350"/>
      <c r="D4" s="351"/>
    </row>
    <row r="5" spans="1:6" ht="15" customHeight="1" x14ac:dyDescent="0.2">
      <c r="A5" s="483" t="s">
        <v>455</v>
      </c>
      <c r="B5" s="487" t="s">
        <v>430</v>
      </c>
      <c r="C5" s="350"/>
      <c r="D5" s="350"/>
    </row>
    <row r="6" spans="1:6" s="17" customFormat="1" ht="22.5" customHeight="1" x14ac:dyDescent="0.2">
      <c r="A6" s="30" t="s">
        <v>5</v>
      </c>
      <c r="B6" s="15" t="s">
        <v>6</v>
      </c>
      <c r="C6" s="370" t="s">
        <v>400</v>
      </c>
      <c r="D6" s="21" t="s">
        <v>7</v>
      </c>
      <c r="E6" s="472"/>
      <c r="F6" s="472"/>
    </row>
    <row r="7" spans="1:6" s="17" customFormat="1" ht="14.25" customHeight="1" x14ac:dyDescent="0.2">
      <c r="A7" s="30"/>
      <c r="B7" s="15"/>
      <c r="C7" s="126"/>
      <c r="D7" s="33"/>
    </row>
    <row r="8" spans="1:6" ht="17.25" customHeight="1" x14ac:dyDescent="0.2">
      <c r="A8" s="54"/>
      <c r="B8" s="56" t="s">
        <v>7</v>
      </c>
      <c r="C8" s="40">
        <f>SUM(C9:C69)</f>
        <v>267614.83999999997</v>
      </c>
      <c r="D8" s="40">
        <f>+D9+D59+D64</f>
        <v>267614.84000000003</v>
      </c>
      <c r="E8" s="18"/>
    </row>
    <row r="9" spans="1:6" x14ac:dyDescent="0.2">
      <c r="A9" s="54">
        <v>5</v>
      </c>
      <c r="B9" s="56" t="s">
        <v>8</v>
      </c>
      <c r="C9" s="40"/>
      <c r="D9" s="40">
        <f>+D10+D34</f>
        <v>262614.84000000003</v>
      </c>
    </row>
    <row r="10" spans="1:6" x14ac:dyDescent="0.2">
      <c r="A10" s="42">
        <v>5.0999999999999996</v>
      </c>
      <c r="B10" s="43" t="s">
        <v>9</v>
      </c>
      <c r="C10" s="40"/>
      <c r="D10" s="40">
        <f>D11+D15+D18+D21+D24+D29</f>
        <v>241372.84000000003</v>
      </c>
    </row>
    <row r="11" spans="1:6" x14ac:dyDescent="0.2">
      <c r="A11" s="42" t="s">
        <v>10</v>
      </c>
      <c r="B11" s="43" t="s">
        <v>11</v>
      </c>
      <c r="C11" s="40"/>
      <c r="D11" s="40">
        <f>SUM(C12:C14)</f>
        <v>166347.96</v>
      </c>
    </row>
    <row r="12" spans="1:6" x14ac:dyDescent="0.2">
      <c r="A12" s="45" t="s">
        <v>251</v>
      </c>
      <c r="B12" s="46" t="s">
        <v>833</v>
      </c>
      <c r="C12" s="41"/>
      <c r="D12" s="41"/>
    </row>
    <row r="13" spans="1:6" x14ac:dyDescent="0.2">
      <c r="A13" s="45" t="s">
        <v>183</v>
      </c>
      <c r="B13" s="46" t="s">
        <v>832</v>
      </c>
      <c r="C13" s="47"/>
      <c r="D13" s="44"/>
    </row>
    <row r="14" spans="1:6" x14ac:dyDescent="0.2">
      <c r="A14" s="45" t="s">
        <v>760</v>
      </c>
      <c r="B14" s="46" t="s">
        <v>831</v>
      </c>
      <c r="C14" s="47">
        <v>166347.96</v>
      </c>
      <c r="D14" s="44"/>
      <c r="E14" s="467"/>
    </row>
    <row r="15" spans="1:6" x14ac:dyDescent="0.2">
      <c r="A15" s="42" t="s">
        <v>252</v>
      </c>
      <c r="B15" s="43" t="s">
        <v>253</v>
      </c>
      <c r="C15" s="47"/>
      <c r="D15" s="44">
        <f>SUM(C16:C17)</f>
        <v>21109.13</v>
      </c>
    </row>
    <row r="16" spans="1:6" x14ac:dyDescent="0.2">
      <c r="A16" s="45" t="s">
        <v>254</v>
      </c>
      <c r="B16" s="46" t="s">
        <v>255</v>
      </c>
      <c r="C16" s="47">
        <v>13862.33</v>
      </c>
      <c r="D16" s="47"/>
    </row>
    <row r="17" spans="1:4" x14ac:dyDescent="0.2">
      <c r="A17" s="45" t="s">
        <v>256</v>
      </c>
      <c r="B17" s="46" t="s">
        <v>257</v>
      </c>
      <c r="C17" s="47">
        <v>7246.8</v>
      </c>
      <c r="D17" s="44"/>
    </row>
    <row r="18" spans="1:4" x14ac:dyDescent="0.2">
      <c r="A18" s="54" t="s">
        <v>349</v>
      </c>
      <c r="B18" s="56" t="s">
        <v>350</v>
      </c>
      <c r="C18" s="41"/>
      <c r="D18" s="44">
        <f>SUM(C19:C20)</f>
        <v>15120</v>
      </c>
    </row>
    <row r="19" spans="1:4" x14ac:dyDescent="0.2">
      <c r="A19" s="57" t="s">
        <v>508</v>
      </c>
      <c r="B19" s="58" t="s">
        <v>509</v>
      </c>
      <c r="C19" s="47">
        <v>2160</v>
      </c>
      <c r="D19" s="44"/>
    </row>
    <row r="20" spans="1:4" x14ac:dyDescent="0.2">
      <c r="A20" s="57" t="s">
        <v>351</v>
      </c>
      <c r="B20" s="58" t="s">
        <v>830</v>
      </c>
      <c r="C20" s="47">
        <v>12960</v>
      </c>
      <c r="D20" s="47"/>
    </row>
    <row r="21" spans="1:4" x14ac:dyDescent="0.2">
      <c r="A21" s="42" t="s">
        <v>184</v>
      </c>
      <c r="B21" s="59" t="s">
        <v>185</v>
      </c>
      <c r="C21" s="47"/>
      <c r="D21" s="44">
        <f>SUM(C22:C23)</f>
        <v>4722.1400000000003</v>
      </c>
    </row>
    <row r="22" spans="1:4" x14ac:dyDescent="0.2">
      <c r="A22" s="45" t="s">
        <v>277</v>
      </c>
      <c r="B22" s="60" t="s">
        <v>719</v>
      </c>
      <c r="C22" s="41">
        <v>1159.49</v>
      </c>
      <c r="D22" s="40"/>
    </row>
    <row r="23" spans="1:4" x14ac:dyDescent="0.2">
      <c r="A23" s="45" t="s">
        <v>479</v>
      </c>
      <c r="B23" s="46" t="s">
        <v>480</v>
      </c>
      <c r="C23" s="229">
        <v>3562.65</v>
      </c>
      <c r="D23" s="58"/>
    </row>
    <row r="24" spans="1:4" x14ac:dyDescent="0.2">
      <c r="A24" s="42" t="s">
        <v>187</v>
      </c>
      <c r="B24" s="43" t="s">
        <v>186</v>
      </c>
      <c r="C24" s="47"/>
      <c r="D24" s="44">
        <f>SUM(C25:C28)</f>
        <v>0</v>
      </c>
    </row>
    <row r="25" spans="1:4" x14ac:dyDescent="0.2">
      <c r="A25" s="45" t="s">
        <v>766</v>
      </c>
      <c r="B25" s="46" t="s">
        <v>829</v>
      </c>
      <c r="C25" s="48"/>
      <c r="D25" s="49"/>
    </row>
    <row r="26" spans="1:4" x14ac:dyDescent="0.2">
      <c r="A26" s="45" t="s">
        <v>258</v>
      </c>
      <c r="B26" s="46" t="s">
        <v>259</v>
      </c>
      <c r="C26" s="48"/>
      <c r="D26" s="49"/>
    </row>
    <row r="27" spans="1:4" x14ac:dyDescent="0.2">
      <c r="A27" s="45" t="s">
        <v>769</v>
      </c>
      <c r="B27" s="46" t="s">
        <v>676</v>
      </c>
      <c r="C27" s="48"/>
      <c r="D27" s="49"/>
    </row>
    <row r="28" spans="1:4" x14ac:dyDescent="0.2">
      <c r="A28" s="45" t="s">
        <v>542</v>
      </c>
      <c r="B28" s="46" t="s">
        <v>543</v>
      </c>
      <c r="C28" s="48"/>
      <c r="D28" s="49"/>
    </row>
    <row r="29" spans="1:4" x14ac:dyDescent="0.2">
      <c r="A29" s="42" t="s">
        <v>12</v>
      </c>
      <c r="B29" s="43" t="s">
        <v>13</v>
      </c>
      <c r="C29" s="48"/>
      <c r="D29" s="216">
        <f>SUM(C30:C31)</f>
        <v>34073.61</v>
      </c>
    </row>
    <row r="30" spans="1:4" x14ac:dyDescent="0.2">
      <c r="A30" s="45" t="s">
        <v>260</v>
      </c>
      <c r="B30" s="46" t="s">
        <v>261</v>
      </c>
      <c r="C30" s="48">
        <v>20211.28</v>
      </c>
      <c r="D30" s="49"/>
    </row>
    <row r="31" spans="1:4" x14ac:dyDescent="0.2">
      <c r="A31" s="45" t="s">
        <v>510</v>
      </c>
      <c r="B31" s="46" t="s">
        <v>700</v>
      </c>
      <c r="C31" s="48">
        <v>13862.33</v>
      </c>
      <c r="D31" s="49"/>
    </row>
    <row r="32" spans="1:4" x14ac:dyDescent="0.2">
      <c r="A32" s="42" t="s">
        <v>302</v>
      </c>
      <c r="B32" s="43" t="s">
        <v>303</v>
      </c>
      <c r="C32" s="48"/>
      <c r="D32" s="49"/>
    </row>
    <row r="33" spans="1:4" x14ac:dyDescent="0.2">
      <c r="A33" s="45" t="s">
        <v>768</v>
      </c>
      <c r="B33" s="46" t="s">
        <v>776</v>
      </c>
      <c r="C33" s="48"/>
      <c r="D33" s="49"/>
    </row>
    <row r="34" spans="1:4" x14ac:dyDescent="0.2">
      <c r="A34" s="54">
        <v>5.3</v>
      </c>
      <c r="B34" s="56" t="s">
        <v>14</v>
      </c>
      <c r="C34" s="40"/>
      <c r="D34" s="40">
        <f>+D35+D38+D40+D43+D47+D49+D57</f>
        <v>21242</v>
      </c>
    </row>
    <row r="35" spans="1:4" x14ac:dyDescent="0.2">
      <c r="A35" s="54" t="s">
        <v>15</v>
      </c>
      <c r="B35" s="56" t="s">
        <v>16</v>
      </c>
      <c r="C35" s="40"/>
      <c r="D35" s="40">
        <f>+C36+C37</f>
        <v>9000</v>
      </c>
    </row>
    <row r="36" spans="1:4" x14ac:dyDescent="0.2">
      <c r="A36" s="57" t="s">
        <v>17</v>
      </c>
      <c r="B36" s="58" t="s">
        <v>18</v>
      </c>
      <c r="C36" s="41">
        <v>8000</v>
      </c>
      <c r="D36" s="41"/>
    </row>
    <row r="37" spans="1:4" x14ac:dyDescent="0.2">
      <c r="A37" s="57" t="s">
        <v>19</v>
      </c>
      <c r="B37" s="58" t="s">
        <v>20</v>
      </c>
      <c r="C37" s="41">
        <v>1000</v>
      </c>
      <c r="D37" s="41"/>
    </row>
    <row r="38" spans="1:4" x14ac:dyDescent="0.2">
      <c r="A38" s="42" t="s">
        <v>23</v>
      </c>
      <c r="B38" s="43" t="s">
        <v>4</v>
      </c>
      <c r="C38" s="44" t="s">
        <v>147</v>
      </c>
      <c r="D38" s="44">
        <f>+C39</f>
        <v>500</v>
      </c>
    </row>
    <row r="39" spans="1:4" x14ac:dyDescent="0.2">
      <c r="A39" s="45" t="s">
        <v>26</v>
      </c>
      <c r="B39" s="46" t="s">
        <v>711</v>
      </c>
      <c r="C39" s="47">
        <v>500</v>
      </c>
      <c r="D39" s="41"/>
    </row>
    <row r="40" spans="1:4" x14ac:dyDescent="0.2">
      <c r="A40" s="54" t="s">
        <v>33</v>
      </c>
      <c r="B40" s="56" t="s">
        <v>34</v>
      </c>
      <c r="C40" s="40"/>
      <c r="D40" s="40">
        <f>+C41+C42</f>
        <v>1000</v>
      </c>
    </row>
    <row r="41" spans="1:4" x14ac:dyDescent="0.2">
      <c r="A41" s="57" t="s">
        <v>35</v>
      </c>
      <c r="B41" s="58" t="s">
        <v>36</v>
      </c>
      <c r="C41" s="41">
        <v>500</v>
      </c>
      <c r="D41" s="41"/>
    </row>
    <row r="42" spans="1:4" x14ac:dyDescent="0.2">
      <c r="A42" s="57" t="s">
        <v>37</v>
      </c>
      <c r="B42" s="58" t="s">
        <v>38</v>
      </c>
      <c r="C42" s="41">
        <v>500</v>
      </c>
      <c r="D42" s="41"/>
    </row>
    <row r="43" spans="1:4" x14ac:dyDescent="0.2">
      <c r="A43" s="54" t="s">
        <v>39</v>
      </c>
      <c r="B43" s="56" t="s">
        <v>40</v>
      </c>
      <c r="C43" s="40"/>
      <c r="D43" s="40">
        <f>SUM(C44:C46)</f>
        <v>2500</v>
      </c>
    </row>
    <row r="44" spans="1:4" x14ac:dyDescent="0.2">
      <c r="A44" s="57" t="s">
        <v>41</v>
      </c>
      <c r="B44" s="58" t="s">
        <v>146</v>
      </c>
      <c r="C44" s="41">
        <v>500</v>
      </c>
      <c r="D44" s="41"/>
    </row>
    <row r="45" spans="1:4" x14ac:dyDescent="0.2">
      <c r="A45" s="57" t="s">
        <v>43</v>
      </c>
      <c r="B45" s="58" t="s">
        <v>44</v>
      </c>
      <c r="C45" s="41">
        <v>1000</v>
      </c>
      <c r="D45" s="41"/>
    </row>
    <row r="46" spans="1:4" x14ac:dyDescent="0.2">
      <c r="A46" s="57" t="s">
        <v>43</v>
      </c>
      <c r="B46" s="58" t="s">
        <v>177</v>
      </c>
      <c r="C46" s="41">
        <v>1000</v>
      </c>
      <c r="D46" s="41"/>
    </row>
    <row r="47" spans="1:4" x14ac:dyDescent="0.2">
      <c r="A47" s="54" t="s">
        <v>46</v>
      </c>
      <c r="B47" s="56" t="s">
        <v>47</v>
      </c>
      <c r="C47" s="41"/>
      <c r="D47" s="40">
        <f>+C48</f>
        <v>1000</v>
      </c>
    </row>
    <row r="48" spans="1:4" x14ac:dyDescent="0.2">
      <c r="A48" s="57" t="s">
        <v>49</v>
      </c>
      <c r="B48" s="58" t="s">
        <v>867</v>
      </c>
      <c r="C48" s="41">
        <v>1000</v>
      </c>
      <c r="D48" s="41"/>
    </row>
    <row r="49" spans="1:5" x14ac:dyDescent="0.2">
      <c r="A49" s="54" t="s">
        <v>55</v>
      </c>
      <c r="B49" s="56" t="s">
        <v>165</v>
      </c>
      <c r="C49" s="40"/>
      <c r="D49" s="40">
        <f>SUM(C50:C56)</f>
        <v>7042</v>
      </c>
    </row>
    <row r="50" spans="1:5" x14ac:dyDescent="0.2">
      <c r="A50" s="57" t="s">
        <v>59</v>
      </c>
      <c r="B50" s="58" t="s">
        <v>837</v>
      </c>
      <c r="C50" s="41">
        <v>3042</v>
      </c>
      <c r="D50" s="41"/>
    </row>
    <row r="51" spans="1:5" x14ac:dyDescent="0.2">
      <c r="A51" s="57" t="s">
        <v>65</v>
      </c>
      <c r="B51" s="58" t="s">
        <v>636</v>
      </c>
      <c r="C51" s="41">
        <v>200</v>
      </c>
      <c r="D51" s="41"/>
      <c r="E51" s="212"/>
    </row>
    <row r="52" spans="1:5" x14ac:dyDescent="0.2">
      <c r="A52" s="57" t="s">
        <v>180</v>
      </c>
      <c r="B52" s="58" t="s">
        <v>95</v>
      </c>
      <c r="C52" s="41">
        <v>500</v>
      </c>
      <c r="D52" s="41"/>
      <c r="E52" s="212"/>
    </row>
    <row r="53" spans="1:5" ht="21.75" customHeight="1" x14ac:dyDescent="0.2">
      <c r="A53" s="52" t="s">
        <v>67</v>
      </c>
      <c r="B53" s="46" t="s">
        <v>861</v>
      </c>
      <c r="C53" s="41"/>
      <c r="D53" s="41"/>
    </row>
    <row r="54" spans="1:5" x14ac:dyDescent="0.2">
      <c r="A54" s="45" t="s">
        <v>225</v>
      </c>
      <c r="B54" s="46" t="s">
        <v>868</v>
      </c>
      <c r="C54" s="41">
        <v>2000</v>
      </c>
      <c r="D54" s="41"/>
    </row>
    <row r="55" spans="1:5" x14ac:dyDescent="0.2">
      <c r="A55" s="45" t="s">
        <v>409</v>
      </c>
      <c r="B55" s="46" t="s">
        <v>869</v>
      </c>
      <c r="C55" s="41">
        <v>500</v>
      </c>
      <c r="D55" s="41"/>
    </row>
    <row r="56" spans="1:5" x14ac:dyDescent="0.2">
      <c r="A56" s="45" t="s">
        <v>715</v>
      </c>
      <c r="B56" s="46" t="s">
        <v>716</v>
      </c>
      <c r="C56" s="41">
        <v>800</v>
      </c>
      <c r="D56" s="41"/>
    </row>
    <row r="57" spans="1:5" x14ac:dyDescent="0.2">
      <c r="A57" s="42" t="s">
        <v>575</v>
      </c>
      <c r="B57" s="43" t="s">
        <v>649</v>
      </c>
      <c r="C57" s="41"/>
      <c r="D57" s="40">
        <f>SUM(C58)</f>
        <v>200</v>
      </c>
    </row>
    <row r="58" spans="1:5" x14ac:dyDescent="0.2">
      <c r="A58" s="45" t="s">
        <v>712</v>
      </c>
      <c r="B58" s="46" t="s">
        <v>80</v>
      </c>
      <c r="C58" s="41">
        <v>200</v>
      </c>
      <c r="D58" s="41"/>
    </row>
    <row r="59" spans="1:5" x14ac:dyDescent="0.2">
      <c r="A59" s="54">
        <v>7.5</v>
      </c>
      <c r="B59" s="93" t="s">
        <v>170</v>
      </c>
      <c r="C59" s="41"/>
      <c r="D59" s="40">
        <f>+D60</f>
        <v>0</v>
      </c>
    </row>
    <row r="60" spans="1:5" x14ac:dyDescent="0.2">
      <c r="A60" s="54" t="s">
        <v>173</v>
      </c>
      <c r="B60" s="93" t="s">
        <v>174</v>
      </c>
      <c r="C60" s="41"/>
      <c r="D60" s="40">
        <f>SUM(C62:C63)</f>
        <v>0</v>
      </c>
    </row>
    <row r="61" spans="1:5" x14ac:dyDescent="0.2">
      <c r="A61" s="54" t="s">
        <v>175</v>
      </c>
      <c r="B61" s="93" t="s">
        <v>176</v>
      </c>
      <c r="C61" s="40"/>
      <c r="D61" s="40"/>
    </row>
    <row r="62" spans="1:5" s="28" customFormat="1" x14ac:dyDescent="0.2">
      <c r="A62" s="52" t="s">
        <v>223</v>
      </c>
      <c r="B62" s="62" t="s">
        <v>933</v>
      </c>
      <c r="C62" s="53"/>
      <c r="D62" s="53"/>
    </row>
    <row r="63" spans="1:5" s="28" customFormat="1" ht="14.25" customHeight="1" x14ac:dyDescent="0.2">
      <c r="A63" s="52" t="s">
        <v>247</v>
      </c>
      <c r="B63" s="62" t="s">
        <v>713</v>
      </c>
      <c r="C63" s="53"/>
      <c r="D63" s="53"/>
    </row>
    <row r="64" spans="1:5" x14ac:dyDescent="0.2">
      <c r="A64" s="54">
        <v>8</v>
      </c>
      <c r="B64" s="56" t="s">
        <v>74</v>
      </c>
      <c r="C64" s="40"/>
      <c r="D64" s="40">
        <f>+D65</f>
        <v>5000</v>
      </c>
    </row>
    <row r="65" spans="1:4" x14ac:dyDescent="0.2">
      <c r="A65" s="54">
        <v>8.4</v>
      </c>
      <c r="B65" s="56" t="s">
        <v>75</v>
      </c>
      <c r="C65" s="40"/>
      <c r="D65" s="40">
        <f>+D66</f>
        <v>5000</v>
      </c>
    </row>
    <row r="66" spans="1:4" x14ac:dyDescent="0.2">
      <c r="A66" s="54" t="s">
        <v>76</v>
      </c>
      <c r="B66" s="56" t="s">
        <v>77</v>
      </c>
      <c r="C66" s="40"/>
      <c r="D66" s="40">
        <f>SUM(C67:C69)</f>
        <v>5000</v>
      </c>
    </row>
    <row r="67" spans="1:4" x14ac:dyDescent="0.2">
      <c r="A67" s="57" t="s">
        <v>301</v>
      </c>
      <c r="B67" s="58" t="s">
        <v>149</v>
      </c>
      <c r="C67" s="41">
        <v>2000</v>
      </c>
      <c r="D67" s="41"/>
    </row>
    <row r="68" spans="1:4" x14ac:dyDescent="0.2">
      <c r="A68" s="57" t="s">
        <v>276</v>
      </c>
      <c r="B68" s="58" t="s">
        <v>189</v>
      </c>
      <c r="C68" s="41">
        <v>3000</v>
      </c>
      <c r="D68" s="41"/>
    </row>
    <row r="69" spans="1:4" x14ac:dyDescent="0.2">
      <c r="A69" s="57" t="s">
        <v>78</v>
      </c>
      <c r="B69" s="58" t="s">
        <v>714</v>
      </c>
      <c r="C69" s="41"/>
      <c r="D69" s="41"/>
    </row>
    <row r="70" spans="1:4" x14ac:dyDescent="0.2">
      <c r="B70" s="35"/>
      <c r="C70" s="13"/>
      <c r="D70" s="35"/>
    </row>
    <row r="72" spans="1:4" x14ac:dyDescent="0.2">
      <c r="C72" s="39">
        <f>SUM(C9:C69)</f>
        <v>267614.83999999997</v>
      </c>
    </row>
  </sheetData>
  <mergeCells count="2">
    <mergeCell ref="A1:D1"/>
    <mergeCell ref="A2:D2"/>
  </mergeCells>
  <phoneticPr fontId="0" type="noConversion"/>
  <pageMargins left="0.98425196850393704" right="0.75" top="0.98425196850393704" bottom="0.59055118110236227" header="0" footer="0"/>
  <pageSetup paperSize="9" scale="83" orientation="portrait" verticalDpi="1200" r:id="rId1"/>
  <headerFooter alignWithMargins="0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F82"/>
  <sheetViews>
    <sheetView showGridLines="0" workbookViewId="0">
      <selection activeCell="G12" sqref="G12"/>
    </sheetView>
  </sheetViews>
  <sheetFormatPr baseColWidth="10" defaultRowHeight="12.75" x14ac:dyDescent="0.2"/>
  <cols>
    <col min="1" max="1" width="12.7109375" style="6" customWidth="1"/>
    <col min="2" max="2" width="45.7109375" customWidth="1"/>
    <col min="3" max="3" width="10.140625" style="35" bestFit="1" customWidth="1"/>
    <col min="4" max="4" width="12.85546875" customWidth="1"/>
    <col min="5" max="6" width="11.42578125" style="4"/>
  </cols>
  <sheetData>
    <row r="1" spans="1:6" ht="18" x14ac:dyDescent="0.2">
      <c r="A1" s="561" t="s">
        <v>406</v>
      </c>
      <c r="B1" s="562"/>
      <c r="C1" s="562"/>
      <c r="D1" s="562"/>
    </row>
    <row r="2" spans="1:6" ht="17.25" x14ac:dyDescent="0.2">
      <c r="A2" s="563" t="s">
        <v>931</v>
      </c>
      <c r="B2" s="564"/>
      <c r="C2" s="564"/>
      <c r="D2" s="564"/>
    </row>
    <row r="3" spans="1:6" ht="13.5" x14ac:dyDescent="0.25">
      <c r="A3" s="377"/>
      <c r="B3" s="378"/>
      <c r="C3" s="378"/>
      <c r="D3" s="378"/>
    </row>
    <row r="4" spans="1:6" ht="13.5" x14ac:dyDescent="0.25">
      <c r="A4" s="336">
        <v>3</v>
      </c>
      <c r="B4" s="345" t="s">
        <v>421</v>
      </c>
      <c r="C4" s="378"/>
      <c r="D4" s="378"/>
    </row>
    <row r="5" spans="1:6" ht="13.5" x14ac:dyDescent="0.25">
      <c r="A5" s="379">
        <v>3.6</v>
      </c>
      <c r="B5" s="380" t="s">
        <v>442</v>
      </c>
      <c r="C5" s="378"/>
      <c r="D5" s="378"/>
    </row>
    <row r="6" spans="1:6" ht="15" x14ac:dyDescent="0.2">
      <c r="A6" s="344" t="s">
        <v>456</v>
      </c>
      <c r="B6" s="380" t="s">
        <v>442</v>
      </c>
      <c r="C6" s="356"/>
      <c r="D6" s="381"/>
    </row>
    <row r="7" spans="1:6" s="8" customFormat="1" ht="21.75" customHeight="1" x14ac:dyDescent="0.2">
      <c r="A7" s="11" t="s">
        <v>5</v>
      </c>
      <c r="B7" s="12" t="s">
        <v>6</v>
      </c>
      <c r="C7" s="370" t="s">
        <v>400</v>
      </c>
      <c r="D7" s="21" t="s">
        <v>7</v>
      </c>
      <c r="E7" s="204"/>
      <c r="F7" s="204"/>
    </row>
    <row r="8" spans="1:6" s="8" customFormat="1" ht="21.75" customHeight="1" x14ac:dyDescent="0.2">
      <c r="A8" s="9"/>
      <c r="B8" s="10"/>
      <c r="C8" s="126"/>
      <c r="D8" s="33"/>
      <c r="E8" s="101"/>
      <c r="F8" s="101"/>
    </row>
    <row r="9" spans="1:6" x14ac:dyDescent="0.2">
      <c r="A9" s="63"/>
      <c r="B9" s="1" t="s">
        <v>7</v>
      </c>
      <c r="C9" s="40">
        <f>SUM(C10:C69)</f>
        <v>177322.94499999998</v>
      </c>
      <c r="D9" s="40">
        <f>+D10+D60+D65</f>
        <v>177322.94500000001</v>
      </c>
      <c r="E9" s="18"/>
    </row>
    <row r="10" spans="1:6" x14ac:dyDescent="0.2">
      <c r="A10" s="63">
        <v>5</v>
      </c>
      <c r="B10" s="1" t="s">
        <v>8</v>
      </c>
      <c r="C10" s="40"/>
      <c r="D10" s="27">
        <f>D11+D35</f>
        <v>177322.94500000001</v>
      </c>
    </row>
    <row r="11" spans="1:6" x14ac:dyDescent="0.2">
      <c r="A11" s="42">
        <v>5.0999999999999996</v>
      </c>
      <c r="B11" s="43" t="s">
        <v>9</v>
      </c>
      <c r="C11" s="40"/>
      <c r="D11" s="27">
        <f>D12+D16+D19+D22+D25+D30</f>
        <v>175066.94500000001</v>
      </c>
    </row>
    <row r="12" spans="1:6" x14ac:dyDescent="0.2">
      <c r="A12" s="42" t="s">
        <v>10</v>
      </c>
      <c r="B12" s="43" t="s">
        <v>11</v>
      </c>
      <c r="C12" s="40"/>
      <c r="D12" s="27">
        <f>SUM(C13:C15)</f>
        <v>124951.185</v>
      </c>
    </row>
    <row r="13" spans="1:6" x14ac:dyDescent="0.2">
      <c r="A13" s="45" t="s">
        <v>251</v>
      </c>
      <c r="B13" s="46" t="s">
        <v>833</v>
      </c>
      <c r="C13" s="41">
        <v>13742.375</v>
      </c>
      <c r="D13" s="130"/>
    </row>
    <row r="14" spans="1:6" x14ac:dyDescent="0.2">
      <c r="A14" s="45" t="s">
        <v>183</v>
      </c>
      <c r="B14" s="46" t="s">
        <v>832</v>
      </c>
      <c r="C14" s="41">
        <v>20160</v>
      </c>
      <c r="D14" s="130"/>
      <c r="E14" s="18"/>
    </row>
    <row r="15" spans="1:6" x14ac:dyDescent="0.2">
      <c r="A15" s="45" t="s">
        <v>760</v>
      </c>
      <c r="B15" s="46" t="s">
        <v>831</v>
      </c>
      <c r="C15" s="47">
        <v>91048.81</v>
      </c>
      <c r="D15" s="44"/>
      <c r="E15" s="467"/>
    </row>
    <row r="16" spans="1:6" x14ac:dyDescent="0.2">
      <c r="A16" s="42" t="s">
        <v>252</v>
      </c>
      <c r="B16" s="43" t="s">
        <v>253</v>
      </c>
      <c r="C16" s="47"/>
      <c r="D16" s="44">
        <f>SUM(C17:C18)</f>
        <v>14501.2</v>
      </c>
    </row>
    <row r="17" spans="1:4" x14ac:dyDescent="0.2">
      <c r="A17" s="45" t="s">
        <v>254</v>
      </c>
      <c r="B17" s="46" t="s">
        <v>255</v>
      </c>
      <c r="C17" s="47">
        <f>1680+7587.4</f>
        <v>9267.4</v>
      </c>
      <c r="D17" s="44"/>
    </row>
    <row r="18" spans="1:4" x14ac:dyDescent="0.2">
      <c r="A18" s="45" t="s">
        <v>256</v>
      </c>
      <c r="B18" s="46" t="s">
        <v>257</v>
      </c>
      <c r="C18" s="47">
        <f>402.6+4831.2</f>
        <v>5233.8</v>
      </c>
      <c r="D18" s="44"/>
    </row>
    <row r="19" spans="1:4" x14ac:dyDescent="0.2">
      <c r="A19" s="54" t="s">
        <v>349</v>
      </c>
      <c r="B19" s="56" t="s">
        <v>350</v>
      </c>
      <c r="C19" s="41"/>
      <c r="D19" s="44">
        <f>SUM(C20:C21)</f>
        <v>10080</v>
      </c>
    </row>
    <row r="20" spans="1:4" x14ac:dyDescent="0.2">
      <c r="A20" s="57" t="s">
        <v>508</v>
      </c>
      <c r="B20" s="58" t="s">
        <v>509</v>
      </c>
      <c r="C20" s="41">
        <v>1440</v>
      </c>
      <c r="D20" s="40"/>
    </row>
    <row r="21" spans="1:4" x14ac:dyDescent="0.2">
      <c r="A21" s="57" t="s">
        <v>351</v>
      </c>
      <c r="B21" s="58" t="s">
        <v>830</v>
      </c>
      <c r="C21" s="41">
        <v>8640</v>
      </c>
      <c r="D21" s="41"/>
    </row>
    <row r="22" spans="1:4" x14ac:dyDescent="0.2">
      <c r="A22" s="42" t="s">
        <v>184</v>
      </c>
      <c r="B22" s="59" t="s">
        <v>185</v>
      </c>
      <c r="C22" s="41"/>
      <c r="D22" s="40">
        <f>SUM(C23:C24)</f>
        <v>2856.09</v>
      </c>
    </row>
    <row r="23" spans="1:4" x14ac:dyDescent="0.2">
      <c r="A23" s="45" t="s">
        <v>277</v>
      </c>
      <c r="B23" s="60" t="s">
        <v>719</v>
      </c>
      <c r="C23" s="41">
        <v>628.05999999999995</v>
      </c>
      <c r="D23" s="40"/>
    </row>
    <row r="24" spans="1:4" x14ac:dyDescent="0.2">
      <c r="A24" s="45" t="s">
        <v>479</v>
      </c>
      <c r="B24" s="46" t="s">
        <v>480</v>
      </c>
      <c r="C24" s="61">
        <v>2228.0300000000002</v>
      </c>
      <c r="D24" s="58"/>
    </row>
    <row r="25" spans="1:4" x14ac:dyDescent="0.2">
      <c r="A25" s="42" t="s">
        <v>187</v>
      </c>
      <c r="B25" s="43" t="s">
        <v>186</v>
      </c>
      <c r="C25" s="47"/>
      <c r="D25" s="44">
        <f>SUM(C26:C29)</f>
        <v>0</v>
      </c>
    </row>
    <row r="26" spans="1:4" x14ac:dyDescent="0.2">
      <c r="A26" s="45" t="s">
        <v>766</v>
      </c>
      <c r="B26" s="46" t="s">
        <v>829</v>
      </c>
      <c r="C26" s="48"/>
      <c r="D26" s="49"/>
    </row>
    <row r="27" spans="1:4" x14ac:dyDescent="0.2">
      <c r="A27" s="45" t="s">
        <v>258</v>
      </c>
      <c r="B27" s="46" t="s">
        <v>259</v>
      </c>
      <c r="C27" s="48"/>
      <c r="D27" s="49"/>
    </row>
    <row r="28" spans="1:4" x14ac:dyDescent="0.2">
      <c r="A28" s="45" t="s">
        <v>769</v>
      </c>
      <c r="B28" s="46" t="s">
        <v>676</v>
      </c>
      <c r="C28" s="48"/>
      <c r="D28" s="49"/>
    </row>
    <row r="29" spans="1:4" x14ac:dyDescent="0.2">
      <c r="A29" s="45" t="s">
        <v>542</v>
      </c>
      <c r="B29" s="46" t="s">
        <v>543</v>
      </c>
      <c r="C29" s="48"/>
      <c r="D29" s="49"/>
    </row>
    <row r="30" spans="1:4" x14ac:dyDescent="0.2">
      <c r="A30" s="42" t="s">
        <v>12</v>
      </c>
      <c r="B30" s="43" t="s">
        <v>13</v>
      </c>
      <c r="C30" s="48"/>
      <c r="D30" s="216">
        <f>SUM(C31:C32)</f>
        <v>22678.47</v>
      </c>
    </row>
    <row r="31" spans="1:4" x14ac:dyDescent="0.2">
      <c r="A31" s="45" t="s">
        <v>260</v>
      </c>
      <c r="B31" s="46" t="s">
        <v>261</v>
      </c>
      <c r="C31" s="48">
        <f>2348.64+11062.43</f>
        <v>13411.07</v>
      </c>
      <c r="D31" s="49"/>
    </row>
    <row r="32" spans="1:4" x14ac:dyDescent="0.2">
      <c r="A32" s="45" t="s">
        <v>510</v>
      </c>
      <c r="B32" s="46" t="s">
        <v>700</v>
      </c>
      <c r="C32" s="48">
        <f>1680+7587.4</f>
        <v>9267.4</v>
      </c>
      <c r="D32" s="49"/>
    </row>
    <row r="33" spans="1:6" x14ac:dyDescent="0.2">
      <c r="A33" s="42" t="s">
        <v>302</v>
      </c>
      <c r="B33" s="43" t="s">
        <v>303</v>
      </c>
      <c r="C33" s="48"/>
      <c r="D33" s="49"/>
    </row>
    <row r="34" spans="1:6" x14ac:dyDescent="0.2">
      <c r="A34" s="45" t="s">
        <v>768</v>
      </c>
      <c r="B34" s="46" t="s">
        <v>776</v>
      </c>
      <c r="C34" s="48"/>
      <c r="D34" s="49"/>
    </row>
    <row r="35" spans="1:6" x14ac:dyDescent="0.2">
      <c r="A35" s="63">
        <v>5.3</v>
      </c>
      <c r="B35" s="1" t="s">
        <v>14</v>
      </c>
      <c r="C35" s="40"/>
      <c r="D35" s="27">
        <f>+D36+D39+D42+D45+D52+D50</f>
        <v>2256</v>
      </c>
    </row>
    <row r="36" spans="1:6" x14ac:dyDescent="0.2">
      <c r="A36" s="63" t="s">
        <v>15</v>
      </c>
      <c r="B36" s="1" t="s">
        <v>16</v>
      </c>
      <c r="C36" s="40"/>
      <c r="D36" s="27">
        <f>+C37+C38</f>
        <v>0</v>
      </c>
    </row>
    <row r="37" spans="1:6" x14ac:dyDescent="0.2">
      <c r="A37" s="57" t="s">
        <v>17</v>
      </c>
      <c r="B37" s="58" t="s">
        <v>18</v>
      </c>
      <c r="C37" s="41"/>
      <c r="D37" s="40"/>
    </row>
    <row r="38" spans="1:6" x14ac:dyDescent="0.2">
      <c r="A38" s="57" t="s">
        <v>19</v>
      </c>
      <c r="B38" s="58" t="s">
        <v>20</v>
      </c>
      <c r="C38" s="41"/>
      <c r="D38" s="40"/>
    </row>
    <row r="39" spans="1:6" x14ac:dyDescent="0.2">
      <c r="A39" s="54" t="s">
        <v>23</v>
      </c>
      <c r="B39" s="56" t="s">
        <v>4</v>
      </c>
      <c r="C39" s="40"/>
      <c r="D39" s="40">
        <f>+C40+C41</f>
        <v>0</v>
      </c>
    </row>
    <row r="40" spans="1:6" x14ac:dyDescent="0.2">
      <c r="A40" s="57" t="s">
        <v>26</v>
      </c>
      <c r="B40" s="58" t="s">
        <v>693</v>
      </c>
      <c r="C40" s="41"/>
      <c r="D40" s="41"/>
    </row>
    <row r="41" spans="1:6" x14ac:dyDescent="0.2">
      <c r="A41" s="57" t="s">
        <v>29</v>
      </c>
      <c r="B41" s="58" t="s">
        <v>489</v>
      </c>
      <c r="C41" s="41"/>
      <c r="D41" s="41"/>
    </row>
    <row r="42" spans="1:6" x14ac:dyDescent="0.2">
      <c r="A42" s="54" t="s">
        <v>33</v>
      </c>
      <c r="B42" s="56" t="s">
        <v>34</v>
      </c>
      <c r="C42" s="40"/>
      <c r="D42" s="40">
        <f>+C43+C44</f>
        <v>0</v>
      </c>
    </row>
    <row r="43" spans="1:6" x14ac:dyDescent="0.2">
      <c r="A43" s="57" t="s">
        <v>35</v>
      </c>
      <c r="B43" s="58" t="s">
        <v>840</v>
      </c>
      <c r="C43" s="41"/>
      <c r="D43" s="41"/>
    </row>
    <row r="44" spans="1:6" x14ac:dyDescent="0.2">
      <c r="A44" s="57" t="s">
        <v>37</v>
      </c>
      <c r="B44" s="58" t="s">
        <v>841</v>
      </c>
      <c r="C44" s="41"/>
      <c r="D44" s="41"/>
    </row>
    <row r="45" spans="1:6" x14ac:dyDescent="0.2">
      <c r="A45" s="54" t="s">
        <v>39</v>
      </c>
      <c r="B45" s="56" t="s">
        <v>40</v>
      </c>
      <c r="C45" s="40"/>
      <c r="D45" s="40">
        <f>SUM(C46:C49)</f>
        <v>0</v>
      </c>
    </row>
    <row r="46" spans="1:6" x14ac:dyDescent="0.2">
      <c r="A46" s="57" t="s">
        <v>200</v>
      </c>
      <c r="B46" s="58" t="s">
        <v>870</v>
      </c>
      <c r="C46" s="41"/>
      <c r="D46" s="40"/>
    </row>
    <row r="47" spans="1:6" s="34" customFormat="1" x14ac:dyDescent="0.2">
      <c r="A47" s="52" t="s">
        <v>43</v>
      </c>
      <c r="B47" s="46" t="s">
        <v>189</v>
      </c>
      <c r="C47" s="53"/>
      <c r="D47" s="201"/>
      <c r="E47" s="28"/>
      <c r="F47" s="28"/>
    </row>
    <row r="48" spans="1:6" s="34" customFormat="1" x14ac:dyDescent="0.2">
      <c r="A48" s="57" t="s">
        <v>45</v>
      </c>
      <c r="B48" s="46" t="s">
        <v>491</v>
      </c>
      <c r="C48" s="53"/>
      <c r="D48" s="53"/>
      <c r="E48" s="28"/>
      <c r="F48" s="28"/>
    </row>
    <row r="49" spans="1:5" x14ac:dyDescent="0.2">
      <c r="A49" s="57" t="s">
        <v>94</v>
      </c>
      <c r="B49" s="58" t="s">
        <v>191</v>
      </c>
      <c r="C49" s="41"/>
      <c r="D49" s="41"/>
    </row>
    <row r="50" spans="1:5" ht="24" x14ac:dyDescent="0.2">
      <c r="A50" s="42" t="s">
        <v>46</v>
      </c>
      <c r="B50" s="156" t="s">
        <v>467</v>
      </c>
      <c r="C50" s="47"/>
      <c r="D50" s="44">
        <f>+C51</f>
        <v>0</v>
      </c>
    </row>
    <row r="51" spans="1:5" x14ac:dyDescent="0.2">
      <c r="A51" s="45" t="s">
        <v>49</v>
      </c>
      <c r="B51" s="46" t="s">
        <v>466</v>
      </c>
      <c r="C51" s="47"/>
      <c r="D51" s="47"/>
    </row>
    <row r="52" spans="1:5" x14ac:dyDescent="0.2">
      <c r="A52" s="54" t="s">
        <v>55</v>
      </c>
      <c r="B52" s="56" t="s">
        <v>56</v>
      </c>
      <c r="C52" s="40"/>
      <c r="D52" s="40">
        <f>SUM(C53:C59)</f>
        <v>2256</v>
      </c>
    </row>
    <row r="53" spans="1:5" x14ac:dyDescent="0.2">
      <c r="A53" s="57" t="s">
        <v>59</v>
      </c>
      <c r="B53" s="58" t="s">
        <v>837</v>
      </c>
      <c r="C53" s="41">
        <f>228+2028</f>
        <v>2256</v>
      </c>
      <c r="D53" s="41"/>
    </row>
    <row r="54" spans="1:5" x14ac:dyDescent="0.2">
      <c r="A54" s="57" t="s">
        <v>61</v>
      </c>
      <c r="B54" s="58" t="s">
        <v>178</v>
      </c>
      <c r="C54" s="41"/>
      <c r="D54" s="41"/>
      <c r="E54" s="13"/>
    </row>
    <row r="55" spans="1:5" x14ac:dyDescent="0.2">
      <c r="A55" s="57" t="s">
        <v>63</v>
      </c>
      <c r="B55" s="58" t="s">
        <v>179</v>
      </c>
      <c r="C55" s="41"/>
      <c r="D55" s="41"/>
      <c r="E55" s="22"/>
    </row>
    <row r="56" spans="1:5" x14ac:dyDescent="0.2">
      <c r="A56" s="57" t="s">
        <v>65</v>
      </c>
      <c r="B56" s="58" t="s">
        <v>636</v>
      </c>
      <c r="C56" s="41"/>
      <c r="D56" s="41"/>
      <c r="E56" s="22"/>
    </row>
    <row r="57" spans="1:5" x14ac:dyDescent="0.2">
      <c r="A57" s="57" t="s">
        <v>180</v>
      </c>
      <c r="B57" s="58" t="s">
        <v>492</v>
      </c>
      <c r="C57" s="41"/>
      <c r="D57" s="41"/>
      <c r="E57" s="22"/>
    </row>
    <row r="58" spans="1:5" ht="27" customHeight="1" x14ac:dyDescent="0.2">
      <c r="A58" s="52" t="s">
        <v>67</v>
      </c>
      <c r="B58" s="46" t="s">
        <v>68</v>
      </c>
      <c r="C58" s="41"/>
      <c r="D58" s="41"/>
      <c r="E58" s="22"/>
    </row>
    <row r="59" spans="1:5" x14ac:dyDescent="0.2">
      <c r="A59" s="57" t="s">
        <v>225</v>
      </c>
      <c r="B59" s="58" t="s">
        <v>238</v>
      </c>
      <c r="C59" s="41"/>
      <c r="D59" s="41"/>
      <c r="E59" s="22"/>
    </row>
    <row r="60" spans="1:5" x14ac:dyDescent="0.2">
      <c r="A60" s="63">
        <v>7</v>
      </c>
      <c r="B60" s="1" t="s">
        <v>86</v>
      </c>
      <c r="C60" s="40"/>
      <c r="D60" s="27">
        <f>+D61</f>
        <v>0</v>
      </c>
      <c r="E60" s="22"/>
    </row>
    <row r="61" spans="1:5" x14ac:dyDescent="0.2">
      <c r="A61" s="63">
        <v>7.5</v>
      </c>
      <c r="B61" s="1" t="s">
        <v>170</v>
      </c>
      <c r="C61" s="40"/>
      <c r="D61" s="27">
        <f>+D62</f>
        <v>0</v>
      </c>
      <c r="E61" s="22"/>
    </row>
    <row r="62" spans="1:5" x14ac:dyDescent="0.2">
      <c r="A62" s="63" t="s">
        <v>88</v>
      </c>
      <c r="B62" s="1" t="s">
        <v>150</v>
      </c>
      <c r="C62" s="40"/>
      <c r="D62" s="27">
        <f>SUM(C64:C64)</f>
        <v>0</v>
      </c>
      <c r="E62" s="22"/>
    </row>
    <row r="63" spans="1:5" x14ac:dyDescent="0.2">
      <c r="A63" s="63" t="s">
        <v>103</v>
      </c>
      <c r="B63" s="1" t="s">
        <v>319</v>
      </c>
      <c r="C63" s="40"/>
      <c r="D63" s="27"/>
      <c r="E63" s="22"/>
    </row>
    <row r="64" spans="1:5" x14ac:dyDescent="0.2">
      <c r="A64" s="52" t="s">
        <v>105</v>
      </c>
      <c r="B64" s="62" t="s">
        <v>691</v>
      </c>
      <c r="C64" s="53"/>
      <c r="D64" s="51"/>
      <c r="E64" s="69"/>
    </row>
    <row r="65" spans="1:5" x14ac:dyDescent="0.2">
      <c r="A65" s="63">
        <v>8</v>
      </c>
      <c r="B65" s="1" t="s">
        <v>74</v>
      </c>
      <c r="C65" s="40"/>
      <c r="D65" s="27">
        <f>+D66</f>
        <v>0</v>
      </c>
      <c r="E65" s="127"/>
    </row>
    <row r="66" spans="1:5" x14ac:dyDescent="0.2">
      <c r="A66" s="63">
        <v>8.4</v>
      </c>
      <c r="B66" s="1" t="s">
        <v>75</v>
      </c>
      <c r="C66" s="40"/>
      <c r="D66" s="27">
        <f>+D67</f>
        <v>0</v>
      </c>
      <c r="E66" s="22"/>
    </row>
    <row r="67" spans="1:5" x14ac:dyDescent="0.2">
      <c r="A67" s="63" t="s">
        <v>76</v>
      </c>
      <c r="B67" s="1" t="s">
        <v>77</v>
      </c>
      <c r="C67" s="40"/>
      <c r="D67" s="27">
        <f>SUM(C68:C69)</f>
        <v>0</v>
      </c>
      <c r="E67" s="22"/>
    </row>
    <row r="68" spans="1:5" x14ac:dyDescent="0.2">
      <c r="A68" s="57" t="s">
        <v>166</v>
      </c>
      <c r="B68" s="60" t="s">
        <v>149</v>
      </c>
      <c r="C68" s="41">
        <v>0</v>
      </c>
      <c r="D68" s="27"/>
      <c r="E68" s="22"/>
    </row>
    <row r="69" spans="1:5" ht="26.25" customHeight="1" x14ac:dyDescent="0.2">
      <c r="A69" s="57" t="s">
        <v>203</v>
      </c>
      <c r="B69" s="46" t="s">
        <v>692</v>
      </c>
      <c r="C69" s="41"/>
      <c r="D69" s="40"/>
      <c r="E69" s="13"/>
    </row>
    <row r="70" spans="1:5" x14ac:dyDescent="0.2">
      <c r="C70" s="39"/>
      <c r="D70" s="2"/>
    </row>
    <row r="71" spans="1:5" x14ac:dyDescent="0.2">
      <c r="C71" s="39">
        <f>SUM(C10:C69)</f>
        <v>177322.94499999998</v>
      </c>
      <c r="D71" s="2"/>
    </row>
    <row r="72" spans="1:5" x14ac:dyDescent="0.2">
      <c r="C72" s="39"/>
      <c r="D72" s="2"/>
    </row>
    <row r="73" spans="1:5" x14ac:dyDescent="0.2">
      <c r="C73" s="39"/>
      <c r="D73" s="2"/>
    </row>
    <row r="74" spans="1:5" x14ac:dyDescent="0.2">
      <c r="C74" s="39"/>
      <c r="D74" s="2"/>
    </row>
    <row r="75" spans="1:5" x14ac:dyDescent="0.2">
      <c r="C75" s="39"/>
      <c r="D75" s="2"/>
    </row>
    <row r="76" spans="1:5" x14ac:dyDescent="0.2">
      <c r="C76" s="39"/>
      <c r="D76" s="2"/>
    </row>
    <row r="77" spans="1:5" x14ac:dyDescent="0.2">
      <c r="C77" s="39"/>
      <c r="D77" s="2"/>
    </row>
    <row r="78" spans="1:5" x14ac:dyDescent="0.2">
      <c r="C78" s="39"/>
      <c r="D78" s="2"/>
    </row>
    <row r="79" spans="1:5" x14ac:dyDescent="0.2">
      <c r="C79" s="39"/>
      <c r="D79" s="2"/>
    </row>
    <row r="80" spans="1:5" x14ac:dyDescent="0.2">
      <c r="C80" s="39"/>
      <c r="D80" s="2"/>
    </row>
    <row r="81" spans="3:4" x14ac:dyDescent="0.2">
      <c r="C81" s="39"/>
      <c r="D81" s="2"/>
    </row>
    <row r="82" spans="3:4" x14ac:dyDescent="0.2">
      <c r="C82" s="39"/>
      <c r="D82" s="2"/>
    </row>
  </sheetData>
  <mergeCells count="2">
    <mergeCell ref="A1:D1"/>
    <mergeCell ref="A2:D2"/>
  </mergeCells>
  <phoneticPr fontId="0" type="noConversion"/>
  <pageMargins left="1.1811023622047245" right="0.75" top="1.1811023622047245" bottom="0.59055118110236227" header="0" footer="0"/>
  <pageSetup paperSize="9" scale="79" orientation="portrait" verticalDpi="12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I192"/>
  <sheetViews>
    <sheetView showGridLines="0" workbookViewId="0">
      <selection activeCell="C73" sqref="C73"/>
    </sheetView>
  </sheetViews>
  <sheetFormatPr baseColWidth="10" defaultRowHeight="12.75" x14ac:dyDescent="0.2"/>
  <cols>
    <col min="1" max="1" width="10.42578125" style="85" bestFit="1" customWidth="1"/>
    <col min="2" max="2" width="48" style="4" customWidth="1"/>
    <col min="3" max="3" width="10.42578125" style="35" bestFit="1" customWidth="1"/>
    <col min="4" max="4" width="12.42578125" style="4" customWidth="1"/>
    <col min="5" max="16384" width="11.42578125" style="4"/>
  </cols>
  <sheetData>
    <row r="1" spans="1:9" ht="18.75" x14ac:dyDescent="0.2">
      <c r="A1" s="540" t="s">
        <v>406</v>
      </c>
      <c r="B1" s="541"/>
      <c r="C1" s="541"/>
      <c r="D1" s="541"/>
    </row>
    <row r="2" spans="1:9" ht="15" x14ac:dyDescent="0.2">
      <c r="A2" s="542" t="s">
        <v>931</v>
      </c>
      <c r="B2" s="539"/>
      <c r="C2" s="539"/>
      <c r="D2" s="539"/>
    </row>
    <row r="3" spans="1:9" ht="15" x14ac:dyDescent="0.2">
      <c r="A3" s="336">
        <v>5</v>
      </c>
      <c r="B3" s="337" t="s">
        <v>107</v>
      </c>
      <c r="C3" s="355"/>
      <c r="D3" s="355"/>
    </row>
    <row r="4" spans="1:9" ht="18.75" x14ac:dyDescent="0.3">
      <c r="A4" s="336">
        <v>5.0999999999999996</v>
      </c>
      <c r="B4" s="337" t="s">
        <v>213</v>
      </c>
      <c r="C4" s="359"/>
      <c r="D4" s="359"/>
    </row>
    <row r="5" spans="1:9" ht="18.75" x14ac:dyDescent="0.3">
      <c r="A5" s="336" t="s">
        <v>441</v>
      </c>
      <c r="B5" s="337" t="s">
        <v>213</v>
      </c>
      <c r="C5" s="361"/>
      <c r="D5" s="361"/>
    </row>
    <row r="6" spans="1:9" s="17" customFormat="1" ht="23.25" customHeight="1" x14ac:dyDescent="0.2">
      <c r="A6" s="30" t="s">
        <v>5</v>
      </c>
      <c r="B6" s="15" t="s">
        <v>6</v>
      </c>
      <c r="C6" s="126" t="s">
        <v>400</v>
      </c>
      <c r="D6" s="33" t="s">
        <v>7</v>
      </c>
    </row>
    <row r="7" spans="1:9" s="17" customFormat="1" ht="23.25" customHeight="1" x14ac:dyDescent="0.2">
      <c r="A7" s="30"/>
      <c r="B7" s="15"/>
      <c r="C7" s="126"/>
      <c r="D7" s="33"/>
    </row>
    <row r="8" spans="1:9" x14ac:dyDescent="0.2">
      <c r="A8" s="54"/>
      <c r="B8" s="56" t="s">
        <v>7</v>
      </c>
      <c r="C8" s="40">
        <f>SUM(C12:C73)</f>
        <v>2956218.8</v>
      </c>
      <c r="D8" s="40">
        <f>+D9+D55</f>
        <v>2956218.8</v>
      </c>
      <c r="E8" s="18"/>
    </row>
    <row r="9" spans="1:9" x14ac:dyDescent="0.2">
      <c r="A9" s="54">
        <v>5</v>
      </c>
      <c r="B9" s="56" t="s">
        <v>8</v>
      </c>
      <c r="C9" s="40"/>
      <c r="D9" s="40">
        <f>+D10+D24+D34+D40+D46</f>
        <v>1999629.38</v>
      </c>
    </row>
    <row r="10" spans="1:9" x14ac:dyDescent="0.2">
      <c r="A10" s="54">
        <v>5.0999999999999996</v>
      </c>
      <c r="B10" s="56" t="s">
        <v>9</v>
      </c>
      <c r="C10" s="40"/>
      <c r="D10" s="40">
        <f>+D15+D17+D13+D20+D11</f>
        <v>856688</v>
      </c>
    </row>
    <row r="11" spans="1:9" x14ac:dyDescent="0.2">
      <c r="A11" s="54" t="s">
        <v>184</v>
      </c>
      <c r="B11" s="56" t="s">
        <v>185</v>
      </c>
      <c r="C11" s="40"/>
      <c r="D11" s="40">
        <f>+C12</f>
        <v>5000</v>
      </c>
    </row>
    <row r="12" spans="1:9" x14ac:dyDescent="0.2">
      <c r="A12" s="57" t="s">
        <v>352</v>
      </c>
      <c r="B12" s="58" t="s">
        <v>871</v>
      </c>
      <c r="C12" s="41">
        <v>5000</v>
      </c>
      <c r="D12" s="40"/>
    </row>
    <row r="13" spans="1:9" x14ac:dyDescent="0.2">
      <c r="A13" s="54" t="s">
        <v>187</v>
      </c>
      <c r="B13" s="59" t="s">
        <v>186</v>
      </c>
      <c r="C13" s="40"/>
      <c r="D13" s="40">
        <f>+C14</f>
        <v>15000</v>
      </c>
    </row>
    <row r="14" spans="1:9" s="28" customFormat="1" ht="22.5" x14ac:dyDescent="0.2">
      <c r="A14" s="52" t="s">
        <v>258</v>
      </c>
      <c r="B14" s="46" t="s">
        <v>404</v>
      </c>
      <c r="C14" s="53">
        <v>15000</v>
      </c>
      <c r="D14" s="51"/>
    </row>
    <row r="15" spans="1:9" x14ac:dyDescent="0.2">
      <c r="A15" s="54" t="s">
        <v>12</v>
      </c>
      <c r="B15" s="56" t="s">
        <v>13</v>
      </c>
      <c r="C15" s="40"/>
      <c r="D15" s="40">
        <f>C16</f>
        <v>226688</v>
      </c>
    </row>
    <row r="16" spans="1:9" x14ac:dyDescent="0.2">
      <c r="A16" s="57" t="s">
        <v>108</v>
      </c>
      <c r="B16" s="58" t="s">
        <v>872</v>
      </c>
      <c r="C16" s="41">
        <f>179520+32208+14960</f>
        <v>226688</v>
      </c>
      <c r="D16" s="41"/>
      <c r="F16" s="86"/>
      <c r="G16" s="86"/>
      <c r="H16" s="86"/>
      <c r="I16" s="86"/>
    </row>
    <row r="17" spans="1:4" x14ac:dyDescent="0.2">
      <c r="A17" s="54" t="s">
        <v>302</v>
      </c>
      <c r="B17" s="56" t="s">
        <v>303</v>
      </c>
      <c r="C17" s="40"/>
      <c r="D17" s="40">
        <f>+C18+C19</f>
        <v>610000</v>
      </c>
    </row>
    <row r="18" spans="1:4" x14ac:dyDescent="0.2">
      <c r="A18" s="57" t="s">
        <v>304</v>
      </c>
      <c r="B18" s="58" t="s">
        <v>505</v>
      </c>
      <c r="C18" s="41">
        <v>70000</v>
      </c>
      <c r="D18" s="41"/>
    </row>
    <row r="19" spans="1:4" x14ac:dyDescent="0.2">
      <c r="A19" s="57" t="s">
        <v>739</v>
      </c>
      <c r="B19" s="58" t="s">
        <v>343</v>
      </c>
      <c r="C19" s="41">
        <v>540000</v>
      </c>
      <c r="D19" s="41"/>
    </row>
    <row r="20" spans="1:4" x14ac:dyDescent="0.2">
      <c r="A20" s="54" t="s">
        <v>338</v>
      </c>
      <c r="B20" s="56" t="s">
        <v>740</v>
      </c>
      <c r="C20" s="40"/>
      <c r="D20" s="40">
        <f>SUM(C22:C23)</f>
        <v>0</v>
      </c>
    </row>
    <row r="21" spans="1:4" x14ac:dyDescent="0.2">
      <c r="A21" s="54" t="s">
        <v>339</v>
      </c>
      <c r="B21" s="56" t="s">
        <v>873</v>
      </c>
      <c r="C21" s="41"/>
      <c r="D21" s="41"/>
    </row>
    <row r="22" spans="1:4" x14ac:dyDescent="0.2">
      <c r="A22" s="57" t="s">
        <v>393</v>
      </c>
      <c r="B22" s="58" t="s">
        <v>395</v>
      </c>
      <c r="C22" s="41"/>
      <c r="D22" s="41"/>
    </row>
    <row r="23" spans="1:4" s="28" customFormat="1" ht="22.5" x14ac:dyDescent="0.2">
      <c r="A23" s="52" t="s">
        <v>394</v>
      </c>
      <c r="B23" s="62" t="s">
        <v>396</v>
      </c>
      <c r="C23" s="41"/>
      <c r="D23" s="53"/>
    </row>
    <row r="24" spans="1:4" x14ac:dyDescent="0.2">
      <c r="A24" s="54">
        <v>5.3</v>
      </c>
      <c r="B24" s="56" t="s">
        <v>14</v>
      </c>
      <c r="C24" s="40"/>
      <c r="D24" s="40">
        <f>+D25+D27+D29</f>
        <v>150000</v>
      </c>
    </row>
    <row r="25" spans="1:4" x14ac:dyDescent="0.2">
      <c r="A25" s="54" t="s">
        <v>23</v>
      </c>
      <c r="B25" s="56" t="s">
        <v>4</v>
      </c>
      <c r="C25" s="40"/>
      <c r="D25" s="40">
        <f>+C26</f>
        <v>20000</v>
      </c>
    </row>
    <row r="26" spans="1:4" x14ac:dyDescent="0.2">
      <c r="A26" s="57" t="s">
        <v>28</v>
      </c>
      <c r="B26" s="58" t="s">
        <v>874</v>
      </c>
      <c r="C26" s="41">
        <v>20000</v>
      </c>
      <c r="D26" s="41"/>
    </row>
    <row r="27" spans="1:4" x14ac:dyDescent="0.2">
      <c r="A27" s="54" t="s">
        <v>109</v>
      </c>
      <c r="B27" s="56" t="s">
        <v>110</v>
      </c>
      <c r="C27" s="40"/>
      <c r="D27" s="40">
        <f>+C28</f>
        <v>10000</v>
      </c>
    </row>
    <row r="28" spans="1:4" x14ac:dyDescent="0.2">
      <c r="A28" s="57" t="s">
        <v>111</v>
      </c>
      <c r="B28" s="58" t="s">
        <v>875</v>
      </c>
      <c r="C28" s="41">
        <v>10000</v>
      </c>
      <c r="D28" s="41"/>
    </row>
    <row r="29" spans="1:4" x14ac:dyDescent="0.2">
      <c r="A29" s="54" t="s">
        <v>55</v>
      </c>
      <c r="B29" s="56" t="s">
        <v>167</v>
      </c>
      <c r="C29" s="41"/>
      <c r="D29" s="40">
        <f>SUM(C31:C33)</f>
        <v>120000</v>
      </c>
    </row>
    <row r="30" spans="1:4" hidden="1" x14ac:dyDescent="0.2">
      <c r="A30" s="57" t="s">
        <v>325</v>
      </c>
      <c r="B30" s="58" t="s">
        <v>326</v>
      </c>
      <c r="C30" s="41">
        <v>0</v>
      </c>
      <c r="D30" s="41"/>
    </row>
    <row r="31" spans="1:4" x14ac:dyDescent="0.2">
      <c r="A31" s="45" t="s">
        <v>59</v>
      </c>
      <c r="B31" s="46" t="s">
        <v>876</v>
      </c>
      <c r="C31" s="47">
        <v>100000</v>
      </c>
      <c r="D31" s="41"/>
    </row>
    <row r="32" spans="1:4" x14ac:dyDescent="0.2">
      <c r="A32" s="57" t="s">
        <v>196</v>
      </c>
      <c r="B32" s="58" t="s">
        <v>179</v>
      </c>
      <c r="C32" s="41">
        <v>10000</v>
      </c>
      <c r="D32" s="41"/>
    </row>
    <row r="33" spans="1:5" x14ac:dyDescent="0.2">
      <c r="A33" s="45" t="s">
        <v>65</v>
      </c>
      <c r="B33" s="46" t="s">
        <v>636</v>
      </c>
      <c r="C33" s="47">
        <v>10000</v>
      </c>
      <c r="D33" s="47"/>
    </row>
    <row r="34" spans="1:5" x14ac:dyDescent="0.2">
      <c r="A34" s="54">
        <v>5.6</v>
      </c>
      <c r="B34" s="56" t="s">
        <v>82</v>
      </c>
      <c r="C34" s="40"/>
      <c r="D34" s="40">
        <f>+D37+D35</f>
        <v>620941.38</v>
      </c>
    </row>
    <row r="35" spans="1:5" x14ac:dyDescent="0.2">
      <c r="A35" s="54" t="s">
        <v>296</v>
      </c>
      <c r="B35" s="93" t="s">
        <v>297</v>
      </c>
      <c r="C35" s="40"/>
      <c r="D35" s="40">
        <f>+C36</f>
        <v>100000</v>
      </c>
    </row>
    <row r="36" spans="1:5" x14ac:dyDescent="0.2">
      <c r="A36" s="57" t="s">
        <v>298</v>
      </c>
      <c r="B36" s="65" t="s">
        <v>877</v>
      </c>
      <c r="C36" s="41">
        <v>100000</v>
      </c>
      <c r="D36" s="40"/>
    </row>
    <row r="37" spans="1:5" x14ac:dyDescent="0.2">
      <c r="A37" s="54" t="s">
        <v>83</v>
      </c>
      <c r="B37" s="56" t="s">
        <v>84</v>
      </c>
      <c r="C37" s="40"/>
      <c r="D37" s="40">
        <f>+C39</f>
        <v>520941.38</v>
      </c>
    </row>
    <row r="38" spans="1:5" x14ac:dyDescent="0.2">
      <c r="A38" s="54" t="s">
        <v>85</v>
      </c>
      <c r="B38" s="56" t="s">
        <v>112</v>
      </c>
      <c r="C38" s="41"/>
      <c r="D38" s="41"/>
    </row>
    <row r="39" spans="1:5" x14ac:dyDescent="0.2">
      <c r="A39" s="57" t="s">
        <v>139</v>
      </c>
      <c r="B39" s="58" t="s">
        <v>408</v>
      </c>
      <c r="C39" s="220">
        <v>520941.38</v>
      </c>
      <c r="D39" s="41"/>
      <c r="E39" s="212"/>
    </row>
    <row r="40" spans="1:5" x14ac:dyDescent="0.2">
      <c r="A40" s="54">
        <v>5.7</v>
      </c>
      <c r="B40" s="56" t="s">
        <v>69</v>
      </c>
      <c r="C40" s="40"/>
      <c r="D40" s="40">
        <f>+D43+D41</f>
        <v>225000</v>
      </c>
    </row>
    <row r="41" spans="1:5" x14ac:dyDescent="0.2">
      <c r="A41" s="54" t="s">
        <v>747</v>
      </c>
      <c r="B41" s="56" t="s">
        <v>748</v>
      </c>
      <c r="C41" s="40"/>
      <c r="D41" s="40">
        <f>SUM(C42)</f>
        <v>1000</v>
      </c>
    </row>
    <row r="42" spans="1:5" x14ac:dyDescent="0.2">
      <c r="A42" s="57" t="s">
        <v>749</v>
      </c>
      <c r="B42" s="58" t="s">
        <v>750</v>
      </c>
      <c r="C42" s="41">
        <v>1000</v>
      </c>
      <c r="D42" s="40"/>
      <c r="E42" s="212"/>
    </row>
    <row r="43" spans="1:5" x14ac:dyDescent="0.2">
      <c r="A43" s="54" t="s">
        <v>70</v>
      </c>
      <c r="B43" s="56" t="s">
        <v>113</v>
      </c>
      <c r="C43" s="40"/>
      <c r="D43" s="40">
        <f>+C44+C45</f>
        <v>224000</v>
      </c>
    </row>
    <row r="44" spans="1:5" x14ac:dyDescent="0.2">
      <c r="A44" s="57" t="s">
        <v>114</v>
      </c>
      <c r="B44" s="58" t="s">
        <v>115</v>
      </c>
      <c r="C44" s="41">
        <v>223000</v>
      </c>
      <c r="D44" s="41"/>
    </row>
    <row r="45" spans="1:5" x14ac:dyDescent="0.2">
      <c r="A45" s="57" t="s">
        <v>116</v>
      </c>
      <c r="B45" s="58" t="s">
        <v>117</v>
      </c>
      <c r="C45" s="41">
        <v>1000</v>
      </c>
      <c r="D45" s="41"/>
    </row>
    <row r="46" spans="1:5" x14ac:dyDescent="0.2">
      <c r="A46" s="54">
        <v>5.8</v>
      </c>
      <c r="B46" s="56" t="s">
        <v>90</v>
      </c>
      <c r="C46" s="40"/>
      <c r="D46" s="40">
        <f>+D47+D51</f>
        <v>147000</v>
      </c>
    </row>
    <row r="47" spans="1:5" x14ac:dyDescent="0.2">
      <c r="A47" s="54" t="s">
        <v>91</v>
      </c>
      <c r="B47" s="56" t="s">
        <v>118</v>
      </c>
      <c r="C47" s="40"/>
      <c r="D47" s="40">
        <f>SUM(C48:C50)</f>
        <v>143000</v>
      </c>
    </row>
    <row r="48" spans="1:5" x14ac:dyDescent="0.2">
      <c r="A48" s="54" t="s">
        <v>119</v>
      </c>
      <c r="B48" s="56" t="s">
        <v>120</v>
      </c>
      <c r="C48" s="41"/>
      <c r="D48" s="41"/>
    </row>
    <row r="49" spans="1:5" x14ac:dyDescent="0.2">
      <c r="A49" s="57" t="s">
        <v>517</v>
      </c>
      <c r="B49" s="58" t="s">
        <v>235</v>
      </c>
      <c r="C49" s="220">
        <v>100000</v>
      </c>
      <c r="D49" s="41"/>
    </row>
    <row r="50" spans="1:5" x14ac:dyDescent="0.2">
      <c r="A50" s="57" t="s">
        <v>121</v>
      </c>
      <c r="B50" s="58" t="s">
        <v>733</v>
      </c>
      <c r="C50" s="41">
        <v>43000</v>
      </c>
      <c r="D50" s="41"/>
      <c r="E50" s="212"/>
    </row>
    <row r="51" spans="1:5" x14ac:dyDescent="0.2">
      <c r="A51" s="54" t="s">
        <v>122</v>
      </c>
      <c r="B51" s="56" t="s">
        <v>194</v>
      </c>
      <c r="C51" s="40"/>
      <c r="D51" s="40">
        <f>SUM(C53:C54)</f>
        <v>4000</v>
      </c>
    </row>
    <row r="52" spans="1:5" x14ac:dyDescent="0.2">
      <c r="A52" s="54" t="s">
        <v>123</v>
      </c>
      <c r="B52" s="56" t="s">
        <v>124</v>
      </c>
      <c r="C52" s="41"/>
      <c r="D52" s="41"/>
    </row>
    <row r="53" spans="1:5" x14ac:dyDescent="0.2">
      <c r="A53" s="57" t="s">
        <v>125</v>
      </c>
      <c r="B53" s="58" t="s">
        <v>169</v>
      </c>
      <c r="C53" s="41">
        <v>3000</v>
      </c>
      <c r="D53" s="41"/>
      <c r="E53" s="212"/>
    </row>
    <row r="54" spans="1:5" x14ac:dyDescent="0.2">
      <c r="A54" s="57" t="s">
        <v>219</v>
      </c>
      <c r="B54" s="58" t="s">
        <v>220</v>
      </c>
      <c r="C54" s="41">
        <v>1000</v>
      </c>
      <c r="D54" s="41"/>
      <c r="E54" s="212"/>
    </row>
    <row r="55" spans="1:5" x14ac:dyDescent="0.2">
      <c r="A55" s="54">
        <v>9</v>
      </c>
      <c r="B55" s="56" t="s">
        <v>126</v>
      </c>
      <c r="C55" s="40"/>
      <c r="D55" s="40">
        <f>+D56+D67</f>
        <v>956589.42</v>
      </c>
    </row>
    <row r="56" spans="1:5" x14ac:dyDescent="0.2">
      <c r="A56" s="54">
        <v>9.6</v>
      </c>
      <c r="B56" s="56" t="s">
        <v>127</v>
      </c>
      <c r="C56" s="40"/>
      <c r="D56" s="40">
        <f>+D57+D60</f>
        <v>956589.42</v>
      </c>
    </row>
    <row r="57" spans="1:5" x14ac:dyDescent="0.2">
      <c r="A57" s="54" t="s">
        <v>128</v>
      </c>
      <c r="B57" s="56" t="s">
        <v>129</v>
      </c>
      <c r="C57" s="40"/>
      <c r="D57" s="40">
        <f>+C59</f>
        <v>956589.42</v>
      </c>
    </row>
    <row r="58" spans="1:5" x14ac:dyDescent="0.2">
      <c r="A58" s="54" t="s">
        <v>130</v>
      </c>
      <c r="B58" s="56" t="s">
        <v>131</v>
      </c>
      <c r="C58" s="41"/>
      <c r="D58" s="41"/>
    </row>
    <row r="59" spans="1:5" x14ac:dyDescent="0.2">
      <c r="A59" s="57" t="s">
        <v>132</v>
      </c>
      <c r="B59" s="58" t="s">
        <v>478</v>
      </c>
      <c r="C59" s="220">
        <v>956589.42</v>
      </c>
      <c r="D59" s="41"/>
    </row>
    <row r="60" spans="1:5" hidden="1" x14ac:dyDescent="0.2">
      <c r="A60" s="54" t="s">
        <v>292</v>
      </c>
      <c r="B60" s="56" t="s">
        <v>293</v>
      </c>
      <c r="C60" s="40"/>
      <c r="D60" s="40">
        <f>+C61</f>
        <v>0</v>
      </c>
    </row>
    <row r="61" spans="1:5" hidden="1" x14ac:dyDescent="0.2">
      <c r="A61" s="57" t="s">
        <v>294</v>
      </c>
      <c r="B61" s="58" t="s">
        <v>295</v>
      </c>
      <c r="C61" s="41">
        <v>0</v>
      </c>
      <c r="D61" s="41"/>
    </row>
    <row r="62" spans="1:5" hidden="1" x14ac:dyDescent="0.2">
      <c r="A62" s="54">
        <v>9.6999999999999993</v>
      </c>
      <c r="B62" s="56" t="s">
        <v>204</v>
      </c>
      <c r="C62" s="41"/>
      <c r="D62" s="40">
        <f>+C65+C66</f>
        <v>0</v>
      </c>
    </row>
    <row r="63" spans="1:5" hidden="1" x14ac:dyDescent="0.2">
      <c r="A63" s="54" t="s">
        <v>205</v>
      </c>
      <c r="B63" s="56" t="s">
        <v>133</v>
      </c>
      <c r="C63" s="41"/>
      <c r="D63" s="41"/>
    </row>
    <row r="64" spans="1:5" hidden="1" x14ac:dyDescent="0.2">
      <c r="A64" s="54" t="s">
        <v>206</v>
      </c>
      <c r="B64" s="56" t="s">
        <v>207</v>
      </c>
      <c r="C64" s="41"/>
      <c r="D64" s="41"/>
    </row>
    <row r="65" spans="1:4" hidden="1" x14ac:dyDescent="0.2">
      <c r="A65" s="57" t="s">
        <v>340</v>
      </c>
      <c r="B65" s="58" t="s">
        <v>341</v>
      </c>
      <c r="C65" s="41">
        <v>0</v>
      </c>
      <c r="D65" s="41"/>
    </row>
    <row r="66" spans="1:4" hidden="1" x14ac:dyDescent="0.2">
      <c r="A66" s="57" t="s">
        <v>134</v>
      </c>
      <c r="B66" s="58" t="s">
        <v>135</v>
      </c>
      <c r="C66" s="41">
        <v>0</v>
      </c>
      <c r="D66" s="41"/>
    </row>
    <row r="67" spans="1:4" x14ac:dyDescent="0.2">
      <c r="A67" s="54">
        <v>9.6999999999999993</v>
      </c>
      <c r="B67" s="56" t="s">
        <v>204</v>
      </c>
      <c r="C67" s="40"/>
      <c r="D67" s="40">
        <f>+D68+D72</f>
        <v>0</v>
      </c>
    </row>
    <row r="68" spans="1:4" x14ac:dyDescent="0.2">
      <c r="A68" s="54" t="s">
        <v>205</v>
      </c>
      <c r="B68" s="56" t="s">
        <v>133</v>
      </c>
      <c r="C68" s="40"/>
      <c r="D68" s="40">
        <f>SUM(C70:C73)</f>
        <v>0</v>
      </c>
    </row>
    <row r="69" spans="1:4" x14ac:dyDescent="0.2">
      <c r="A69" s="54" t="s">
        <v>206</v>
      </c>
      <c r="B69" s="56" t="s">
        <v>366</v>
      </c>
      <c r="C69" s="41"/>
      <c r="D69" s="41"/>
    </row>
    <row r="70" spans="1:4" x14ac:dyDescent="0.2">
      <c r="A70" s="57"/>
      <c r="B70" s="58"/>
      <c r="C70" s="220"/>
      <c r="D70" s="41"/>
    </row>
    <row r="71" spans="1:4" ht="12" customHeight="1" x14ac:dyDescent="0.2">
      <c r="A71" s="57"/>
      <c r="B71" s="58"/>
      <c r="C71" s="220"/>
      <c r="D71" s="41"/>
    </row>
    <row r="72" spans="1:4" x14ac:dyDescent="0.2">
      <c r="A72" s="57"/>
      <c r="B72" s="58"/>
      <c r="C72" s="220"/>
      <c r="D72" s="41"/>
    </row>
    <row r="73" spans="1:4" x14ac:dyDescent="0.2">
      <c r="A73" s="57"/>
      <c r="B73" s="58"/>
      <c r="C73" s="220"/>
      <c r="D73" s="41"/>
    </row>
    <row r="74" spans="1:4" x14ac:dyDescent="0.2">
      <c r="A74" s="89"/>
      <c r="B74" s="128"/>
      <c r="C74" s="124"/>
      <c r="D74" s="124"/>
    </row>
    <row r="75" spans="1:4" x14ac:dyDescent="0.2">
      <c r="A75" s="89"/>
      <c r="B75" s="128"/>
      <c r="C75" s="124">
        <f>SUM(C9:C73)</f>
        <v>2956218.8</v>
      </c>
      <c r="D75" s="124"/>
    </row>
    <row r="76" spans="1:4" x14ac:dyDescent="0.2">
      <c r="A76" s="89"/>
      <c r="B76" s="128"/>
      <c r="C76" s="124"/>
      <c r="D76" s="124"/>
    </row>
    <row r="77" spans="1:4" x14ac:dyDescent="0.2">
      <c r="A77" s="89"/>
      <c r="B77" s="128"/>
      <c r="C77" s="124"/>
      <c r="D77" s="124"/>
    </row>
    <row r="78" spans="1:4" x14ac:dyDescent="0.2">
      <c r="A78" s="89"/>
      <c r="B78" s="128"/>
      <c r="C78" s="124"/>
      <c r="D78" s="124"/>
    </row>
    <row r="79" spans="1:4" x14ac:dyDescent="0.2">
      <c r="A79" s="89"/>
      <c r="B79" s="23"/>
      <c r="C79" s="13"/>
      <c r="D79" s="13"/>
    </row>
    <row r="80" spans="1:4" x14ac:dyDescent="0.2">
      <c r="A80" s="89"/>
      <c r="B80" s="23"/>
      <c r="C80" s="13"/>
      <c r="D80" s="13"/>
    </row>
    <row r="81" spans="1:4" x14ac:dyDescent="0.2">
      <c r="B81" s="22"/>
      <c r="C81" s="137"/>
      <c r="D81" s="18"/>
    </row>
    <row r="82" spans="1:4" x14ac:dyDescent="0.2">
      <c r="B82" s="565"/>
      <c r="C82" s="565"/>
    </row>
    <row r="83" spans="1:4" s="5" customFormat="1" ht="11.25" x14ac:dyDescent="0.2">
      <c r="A83" s="83"/>
      <c r="B83" s="23"/>
      <c r="C83" s="13"/>
      <c r="D83" s="36"/>
    </row>
    <row r="84" spans="1:4" s="5" customFormat="1" ht="11.25" x14ac:dyDescent="0.2">
      <c r="A84" s="83"/>
      <c r="B84" s="23"/>
      <c r="C84" s="13"/>
      <c r="D84" s="36"/>
    </row>
    <row r="85" spans="1:4" s="5" customFormat="1" ht="11.25" x14ac:dyDescent="0.2">
      <c r="A85" s="83"/>
      <c r="B85" s="23"/>
      <c r="C85" s="13"/>
      <c r="D85" s="36"/>
    </row>
    <row r="86" spans="1:4" s="5" customFormat="1" ht="11.25" x14ac:dyDescent="0.2">
      <c r="A86" s="83"/>
      <c r="B86" s="128"/>
      <c r="C86" s="124"/>
      <c r="D86" s="36"/>
    </row>
    <row r="87" spans="1:4" s="5" customFormat="1" ht="11.25" x14ac:dyDescent="0.2">
      <c r="A87" s="83"/>
      <c r="B87" s="128"/>
      <c r="C87" s="124"/>
      <c r="D87" s="36"/>
    </row>
    <row r="88" spans="1:4" s="5" customFormat="1" ht="11.25" x14ac:dyDescent="0.2">
      <c r="A88" s="83"/>
      <c r="B88" s="23"/>
      <c r="C88" s="124"/>
      <c r="D88" s="36"/>
    </row>
    <row r="89" spans="1:4" s="5" customFormat="1" ht="11.25" x14ac:dyDescent="0.2">
      <c r="A89" s="83"/>
      <c r="C89" s="37"/>
      <c r="D89" s="36"/>
    </row>
    <row r="90" spans="1:4" s="5" customFormat="1" ht="11.25" x14ac:dyDescent="0.2">
      <c r="A90" s="83"/>
      <c r="C90" s="37"/>
      <c r="D90" s="36"/>
    </row>
    <row r="91" spans="1:4" s="5" customFormat="1" ht="11.25" x14ac:dyDescent="0.2">
      <c r="A91" s="83"/>
      <c r="C91" s="36"/>
      <c r="D91" s="36"/>
    </row>
    <row r="92" spans="1:4" s="5" customFormat="1" ht="11.25" x14ac:dyDescent="0.2">
      <c r="A92" s="83"/>
      <c r="C92" s="36"/>
      <c r="D92" s="36"/>
    </row>
    <row r="93" spans="1:4" s="5" customFormat="1" ht="11.25" x14ac:dyDescent="0.2">
      <c r="A93" s="83"/>
      <c r="C93" s="37"/>
      <c r="D93" s="36"/>
    </row>
    <row r="94" spans="1:4" x14ac:dyDescent="0.2">
      <c r="C94" s="39"/>
      <c r="D94" s="18"/>
    </row>
    <row r="95" spans="1:4" x14ac:dyDescent="0.2">
      <c r="C95" s="39"/>
      <c r="D95" s="18"/>
    </row>
    <row r="96" spans="1:4" x14ac:dyDescent="0.2">
      <c r="C96" s="39"/>
      <c r="D96" s="18"/>
    </row>
    <row r="97" spans="3:4" x14ac:dyDescent="0.2">
      <c r="C97" s="39"/>
      <c r="D97" s="18"/>
    </row>
    <row r="98" spans="3:4" x14ac:dyDescent="0.2">
      <c r="C98" s="39"/>
      <c r="D98" s="18"/>
    </row>
    <row r="99" spans="3:4" x14ac:dyDescent="0.2">
      <c r="C99" s="39"/>
      <c r="D99" s="18"/>
    </row>
    <row r="100" spans="3:4" x14ac:dyDescent="0.2">
      <c r="C100" s="39"/>
      <c r="D100" s="18"/>
    </row>
    <row r="101" spans="3:4" x14ac:dyDescent="0.2">
      <c r="C101" s="39"/>
      <c r="D101" s="18"/>
    </row>
    <row r="102" spans="3:4" x14ac:dyDescent="0.2">
      <c r="C102" s="39"/>
      <c r="D102" s="18"/>
    </row>
    <row r="103" spans="3:4" x14ac:dyDescent="0.2">
      <c r="C103" s="39"/>
      <c r="D103" s="18"/>
    </row>
    <row r="104" spans="3:4" x14ac:dyDescent="0.2">
      <c r="C104" s="39"/>
      <c r="D104" s="18"/>
    </row>
    <row r="105" spans="3:4" x14ac:dyDescent="0.2">
      <c r="C105" s="39"/>
      <c r="D105" s="18"/>
    </row>
    <row r="106" spans="3:4" x14ac:dyDescent="0.2">
      <c r="C106" s="39"/>
      <c r="D106" s="18"/>
    </row>
    <row r="107" spans="3:4" x14ac:dyDescent="0.2">
      <c r="C107" s="39"/>
      <c r="D107" s="18"/>
    </row>
    <row r="108" spans="3:4" x14ac:dyDescent="0.2">
      <c r="C108" s="39"/>
      <c r="D108" s="18"/>
    </row>
    <row r="109" spans="3:4" x14ac:dyDescent="0.2">
      <c r="C109" s="39"/>
      <c r="D109" s="18"/>
    </row>
    <row r="110" spans="3:4" x14ac:dyDescent="0.2">
      <c r="C110" s="39"/>
      <c r="D110" s="18"/>
    </row>
    <row r="111" spans="3:4" x14ac:dyDescent="0.2">
      <c r="C111" s="39"/>
      <c r="D111" s="18"/>
    </row>
    <row r="112" spans="3:4" x14ac:dyDescent="0.2">
      <c r="C112" s="39"/>
      <c r="D112" s="18"/>
    </row>
    <row r="113" spans="3:4" x14ac:dyDescent="0.2">
      <c r="C113" s="39"/>
      <c r="D113" s="18"/>
    </row>
    <row r="114" spans="3:4" x14ac:dyDescent="0.2">
      <c r="C114" s="39"/>
      <c r="D114" s="18"/>
    </row>
    <row r="115" spans="3:4" x14ac:dyDescent="0.2">
      <c r="C115" s="39"/>
      <c r="D115" s="18"/>
    </row>
    <row r="116" spans="3:4" x14ac:dyDescent="0.2">
      <c r="C116" s="39"/>
      <c r="D116" s="18"/>
    </row>
    <row r="117" spans="3:4" x14ac:dyDescent="0.2">
      <c r="C117" s="39"/>
      <c r="D117" s="18"/>
    </row>
    <row r="118" spans="3:4" x14ac:dyDescent="0.2">
      <c r="C118" s="39"/>
      <c r="D118" s="18"/>
    </row>
    <row r="119" spans="3:4" x14ac:dyDescent="0.2">
      <c r="C119" s="39"/>
      <c r="D119" s="18"/>
    </row>
    <row r="120" spans="3:4" x14ac:dyDescent="0.2">
      <c r="C120" s="39"/>
      <c r="D120" s="18"/>
    </row>
    <row r="121" spans="3:4" x14ac:dyDescent="0.2">
      <c r="C121" s="39"/>
      <c r="D121" s="18"/>
    </row>
    <row r="122" spans="3:4" x14ac:dyDescent="0.2">
      <c r="C122" s="39"/>
      <c r="D122" s="18"/>
    </row>
    <row r="123" spans="3:4" x14ac:dyDescent="0.2">
      <c r="C123" s="39"/>
      <c r="D123" s="18"/>
    </row>
    <row r="124" spans="3:4" x14ac:dyDescent="0.2">
      <c r="C124" s="39"/>
      <c r="D124" s="18"/>
    </row>
    <row r="125" spans="3:4" x14ac:dyDescent="0.2">
      <c r="C125" s="39"/>
      <c r="D125" s="18"/>
    </row>
    <row r="126" spans="3:4" x14ac:dyDescent="0.2">
      <c r="C126" s="39"/>
      <c r="D126" s="18"/>
    </row>
    <row r="127" spans="3:4" x14ac:dyDescent="0.2">
      <c r="C127" s="39"/>
      <c r="D127" s="18"/>
    </row>
    <row r="128" spans="3:4" x14ac:dyDescent="0.2">
      <c r="C128" s="39"/>
      <c r="D128" s="18"/>
    </row>
    <row r="129" spans="3:4" x14ac:dyDescent="0.2">
      <c r="C129" s="39"/>
      <c r="D129" s="18"/>
    </row>
    <row r="130" spans="3:4" x14ac:dyDescent="0.2">
      <c r="C130" s="39"/>
      <c r="D130" s="18"/>
    </row>
    <row r="131" spans="3:4" x14ac:dyDescent="0.2">
      <c r="C131" s="39"/>
      <c r="D131" s="18"/>
    </row>
    <row r="132" spans="3:4" x14ac:dyDescent="0.2">
      <c r="C132" s="39"/>
      <c r="D132" s="18"/>
    </row>
    <row r="133" spans="3:4" x14ac:dyDescent="0.2">
      <c r="C133" s="39"/>
      <c r="D133" s="18"/>
    </row>
    <row r="134" spans="3:4" x14ac:dyDescent="0.2">
      <c r="C134" s="39"/>
      <c r="D134" s="18"/>
    </row>
    <row r="135" spans="3:4" x14ac:dyDescent="0.2">
      <c r="C135" s="39"/>
      <c r="D135" s="18"/>
    </row>
    <row r="136" spans="3:4" x14ac:dyDescent="0.2">
      <c r="C136" s="39"/>
      <c r="D136" s="18"/>
    </row>
    <row r="137" spans="3:4" x14ac:dyDescent="0.2">
      <c r="C137" s="39"/>
      <c r="D137" s="18"/>
    </row>
    <row r="138" spans="3:4" x14ac:dyDescent="0.2">
      <c r="C138" s="39"/>
      <c r="D138" s="18"/>
    </row>
    <row r="139" spans="3:4" x14ac:dyDescent="0.2">
      <c r="C139" s="39"/>
      <c r="D139" s="18"/>
    </row>
    <row r="140" spans="3:4" x14ac:dyDescent="0.2">
      <c r="C140" s="39"/>
      <c r="D140" s="18"/>
    </row>
    <row r="141" spans="3:4" x14ac:dyDescent="0.2">
      <c r="C141" s="39"/>
      <c r="D141" s="18"/>
    </row>
    <row r="142" spans="3:4" x14ac:dyDescent="0.2">
      <c r="C142" s="39"/>
      <c r="D142" s="18"/>
    </row>
    <row r="143" spans="3:4" x14ac:dyDescent="0.2">
      <c r="C143" s="39"/>
      <c r="D143" s="18"/>
    </row>
    <row r="144" spans="3:4" x14ac:dyDescent="0.2">
      <c r="C144" s="39"/>
      <c r="D144" s="18"/>
    </row>
    <row r="145" spans="3:4" x14ac:dyDescent="0.2">
      <c r="C145" s="39"/>
      <c r="D145" s="18"/>
    </row>
    <row r="146" spans="3:4" x14ac:dyDescent="0.2">
      <c r="C146" s="39"/>
      <c r="D146" s="18"/>
    </row>
    <row r="147" spans="3:4" x14ac:dyDescent="0.2">
      <c r="C147" s="39"/>
      <c r="D147" s="18"/>
    </row>
    <row r="148" spans="3:4" x14ac:dyDescent="0.2">
      <c r="C148" s="39"/>
      <c r="D148" s="18"/>
    </row>
    <row r="149" spans="3:4" x14ac:dyDescent="0.2">
      <c r="C149" s="39"/>
      <c r="D149" s="18"/>
    </row>
    <row r="150" spans="3:4" x14ac:dyDescent="0.2">
      <c r="C150" s="39"/>
      <c r="D150" s="18"/>
    </row>
    <row r="151" spans="3:4" x14ac:dyDescent="0.2">
      <c r="C151" s="39"/>
      <c r="D151" s="18"/>
    </row>
    <row r="152" spans="3:4" x14ac:dyDescent="0.2">
      <c r="C152" s="39"/>
      <c r="D152" s="18"/>
    </row>
    <row r="153" spans="3:4" x14ac:dyDescent="0.2">
      <c r="C153" s="39"/>
      <c r="D153" s="18"/>
    </row>
    <row r="154" spans="3:4" x14ac:dyDescent="0.2">
      <c r="C154" s="39"/>
      <c r="D154" s="18"/>
    </row>
    <row r="155" spans="3:4" x14ac:dyDescent="0.2">
      <c r="C155" s="39"/>
      <c r="D155" s="18"/>
    </row>
    <row r="156" spans="3:4" x14ac:dyDescent="0.2">
      <c r="C156" s="39"/>
      <c r="D156" s="18"/>
    </row>
    <row r="157" spans="3:4" x14ac:dyDescent="0.2">
      <c r="C157" s="39"/>
      <c r="D157" s="18"/>
    </row>
    <row r="158" spans="3:4" x14ac:dyDescent="0.2">
      <c r="C158" s="39"/>
      <c r="D158" s="18"/>
    </row>
    <row r="159" spans="3:4" x14ac:dyDescent="0.2">
      <c r="C159" s="39"/>
      <c r="D159" s="18"/>
    </row>
    <row r="160" spans="3:4" x14ac:dyDescent="0.2">
      <c r="C160" s="39"/>
      <c r="D160" s="18"/>
    </row>
    <row r="161" spans="3:4" x14ac:dyDescent="0.2">
      <c r="C161" s="39"/>
      <c r="D161" s="18"/>
    </row>
    <row r="162" spans="3:4" x14ac:dyDescent="0.2">
      <c r="C162" s="39"/>
      <c r="D162" s="18"/>
    </row>
    <row r="163" spans="3:4" x14ac:dyDescent="0.2">
      <c r="C163" s="39"/>
      <c r="D163" s="18"/>
    </row>
    <row r="164" spans="3:4" x14ac:dyDescent="0.2">
      <c r="C164" s="39"/>
      <c r="D164" s="18"/>
    </row>
    <row r="165" spans="3:4" x14ac:dyDescent="0.2">
      <c r="C165" s="39"/>
      <c r="D165" s="18"/>
    </row>
    <row r="166" spans="3:4" x14ac:dyDescent="0.2">
      <c r="C166" s="39"/>
      <c r="D166" s="18"/>
    </row>
    <row r="167" spans="3:4" x14ac:dyDescent="0.2">
      <c r="C167" s="39"/>
      <c r="D167" s="18"/>
    </row>
    <row r="168" spans="3:4" x14ac:dyDescent="0.2">
      <c r="C168" s="39"/>
      <c r="D168" s="18"/>
    </row>
    <row r="169" spans="3:4" x14ac:dyDescent="0.2">
      <c r="C169" s="39"/>
      <c r="D169" s="18"/>
    </row>
    <row r="170" spans="3:4" x14ac:dyDescent="0.2">
      <c r="C170" s="39"/>
      <c r="D170" s="18"/>
    </row>
    <row r="171" spans="3:4" x14ac:dyDescent="0.2">
      <c r="C171" s="39"/>
      <c r="D171" s="18"/>
    </row>
    <row r="172" spans="3:4" x14ac:dyDescent="0.2">
      <c r="C172" s="39"/>
      <c r="D172" s="18"/>
    </row>
    <row r="173" spans="3:4" x14ac:dyDescent="0.2">
      <c r="C173" s="39"/>
      <c r="D173" s="18"/>
    </row>
    <row r="174" spans="3:4" x14ac:dyDescent="0.2">
      <c r="C174" s="39"/>
      <c r="D174" s="18"/>
    </row>
    <row r="175" spans="3:4" x14ac:dyDescent="0.2">
      <c r="C175" s="39"/>
      <c r="D175" s="18"/>
    </row>
    <row r="176" spans="3:4" x14ac:dyDescent="0.2">
      <c r="C176" s="39"/>
      <c r="D176" s="18"/>
    </row>
    <row r="177" spans="3:4" x14ac:dyDescent="0.2">
      <c r="C177" s="39"/>
      <c r="D177" s="18"/>
    </row>
    <row r="178" spans="3:4" x14ac:dyDescent="0.2">
      <c r="C178" s="39"/>
      <c r="D178" s="18"/>
    </row>
    <row r="179" spans="3:4" x14ac:dyDescent="0.2">
      <c r="C179" s="39"/>
      <c r="D179" s="18"/>
    </row>
    <row r="180" spans="3:4" x14ac:dyDescent="0.2">
      <c r="C180" s="39"/>
      <c r="D180" s="18"/>
    </row>
    <row r="181" spans="3:4" x14ac:dyDescent="0.2">
      <c r="C181" s="39"/>
      <c r="D181" s="18"/>
    </row>
    <row r="182" spans="3:4" x14ac:dyDescent="0.2">
      <c r="C182" s="39"/>
      <c r="D182" s="18"/>
    </row>
    <row r="183" spans="3:4" x14ac:dyDescent="0.2">
      <c r="C183" s="39"/>
      <c r="D183" s="18"/>
    </row>
    <row r="184" spans="3:4" x14ac:dyDescent="0.2">
      <c r="C184" s="39"/>
      <c r="D184" s="18"/>
    </row>
    <row r="185" spans="3:4" x14ac:dyDescent="0.2">
      <c r="C185" s="39"/>
      <c r="D185" s="18"/>
    </row>
    <row r="186" spans="3:4" x14ac:dyDescent="0.2">
      <c r="C186" s="39"/>
      <c r="D186" s="18"/>
    </row>
    <row r="187" spans="3:4" x14ac:dyDescent="0.2">
      <c r="C187" s="39"/>
      <c r="D187" s="18"/>
    </row>
    <row r="188" spans="3:4" x14ac:dyDescent="0.2">
      <c r="C188" s="39"/>
      <c r="D188" s="18"/>
    </row>
    <row r="189" spans="3:4" x14ac:dyDescent="0.2">
      <c r="C189" s="39"/>
      <c r="D189" s="18"/>
    </row>
    <row r="190" spans="3:4" x14ac:dyDescent="0.2">
      <c r="C190" s="39"/>
      <c r="D190" s="18"/>
    </row>
    <row r="191" spans="3:4" x14ac:dyDescent="0.2">
      <c r="C191" s="39"/>
      <c r="D191" s="18"/>
    </row>
    <row r="192" spans="3:4" x14ac:dyDescent="0.2">
      <c r="C192" s="39"/>
      <c r="D192" s="18"/>
    </row>
  </sheetData>
  <mergeCells count="3">
    <mergeCell ref="A1:D1"/>
    <mergeCell ref="A2:D2"/>
    <mergeCell ref="B82:C82"/>
  </mergeCells>
  <phoneticPr fontId="0" type="noConversion"/>
  <pageMargins left="0.98425196850393704" right="0.98425196850393704" top="0.98425196850393704" bottom="0.59055118110236227" header="0" footer="0"/>
  <pageSetup paperSize="9" scale="93" orientation="portrait" verticalDpi="1200" r:id="rId1"/>
  <headerFooter alignWithMargins="0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topLeftCell="A10" workbookViewId="0">
      <selection activeCell="C25" sqref="C25"/>
    </sheetView>
  </sheetViews>
  <sheetFormatPr baseColWidth="10" defaultRowHeight="12.75" x14ac:dyDescent="0.2"/>
  <cols>
    <col min="1" max="1" width="4.42578125" bestFit="1" customWidth="1"/>
    <col min="2" max="2" width="59" bestFit="1" customWidth="1"/>
    <col min="3" max="3" width="18.85546875" customWidth="1"/>
    <col min="4" max="5" width="13.85546875" style="4" bestFit="1" customWidth="1"/>
    <col min="6" max="6" width="26.42578125" style="4" bestFit="1" customWidth="1"/>
    <col min="7" max="7" width="13.85546875" style="4" bestFit="1" customWidth="1"/>
    <col min="8" max="8" width="13.7109375" style="4" customWidth="1"/>
    <col min="10" max="12" width="12.85546875" bestFit="1" customWidth="1"/>
  </cols>
  <sheetData>
    <row r="1" spans="1:10" ht="18" x14ac:dyDescent="0.2">
      <c r="B1" s="566" t="s">
        <v>406</v>
      </c>
      <c r="C1" s="566"/>
    </row>
    <row r="2" spans="1:10" ht="17.25" x14ac:dyDescent="0.2">
      <c r="B2" s="564" t="s">
        <v>938</v>
      </c>
      <c r="C2" s="564"/>
    </row>
    <row r="3" spans="1:10" x14ac:dyDescent="0.2">
      <c r="H3" s="86"/>
    </row>
    <row r="4" spans="1:10" ht="14.25" x14ac:dyDescent="0.2">
      <c r="A4" s="387" t="s">
        <v>407</v>
      </c>
      <c r="B4" s="389" t="s">
        <v>401</v>
      </c>
      <c r="C4" s="389" t="s">
        <v>399</v>
      </c>
      <c r="H4" s="512"/>
    </row>
    <row r="5" spans="1:10" x14ac:dyDescent="0.2">
      <c r="A5" s="385">
        <v>1</v>
      </c>
      <c r="B5" s="385" t="s">
        <v>815</v>
      </c>
      <c r="C5" s="508">
        <f>+[2]P.Central!$D$5</f>
        <v>22739347.623000018</v>
      </c>
      <c r="D5" s="513"/>
      <c r="E5" s="467"/>
      <c r="F5" s="467"/>
      <c r="H5" s="86"/>
      <c r="J5" s="119"/>
    </row>
    <row r="6" spans="1:10" x14ac:dyDescent="0.2">
      <c r="A6" s="385">
        <v>2</v>
      </c>
      <c r="B6" s="385" t="s">
        <v>816</v>
      </c>
      <c r="C6" s="386">
        <f>+[2]Aseo!$D$6</f>
        <v>1639327.252000089</v>
      </c>
      <c r="D6" s="513"/>
      <c r="E6" s="467"/>
      <c r="F6" s="467"/>
      <c r="H6" s="86"/>
    </row>
    <row r="7" spans="1:10" x14ac:dyDescent="0.2">
      <c r="A7" s="385">
        <v>3</v>
      </c>
      <c r="B7" s="385" t="s">
        <v>800</v>
      </c>
      <c r="C7" s="386">
        <f>+[2]Camal!$D$5</f>
        <v>100874.31599999999</v>
      </c>
      <c r="D7" s="513"/>
      <c r="E7" s="467"/>
      <c r="F7" s="467"/>
      <c r="H7" s="86"/>
      <c r="J7" s="135"/>
    </row>
    <row r="8" spans="1:10" x14ac:dyDescent="0.2">
      <c r="A8" s="385">
        <v>4</v>
      </c>
      <c r="B8" s="385" t="s">
        <v>796</v>
      </c>
      <c r="C8" s="386">
        <f>+[2]Terminal!$D$6</f>
        <v>171789.79399999999</v>
      </c>
      <c r="D8" s="513"/>
      <c r="E8" s="467"/>
      <c r="F8" s="467"/>
      <c r="H8" s="86"/>
    </row>
    <row r="9" spans="1:10" x14ac:dyDescent="0.2">
      <c r="A9" s="385">
        <v>5</v>
      </c>
      <c r="B9" s="385" t="s">
        <v>817</v>
      </c>
      <c r="C9" s="386">
        <f>+[2]Cementerio!$D$5</f>
        <v>190443.62</v>
      </c>
      <c r="D9" s="513"/>
      <c r="E9" s="467"/>
      <c r="F9" s="467"/>
      <c r="H9" s="86"/>
    </row>
    <row r="10" spans="1:10" x14ac:dyDescent="0.2">
      <c r="A10" s="385">
        <v>6</v>
      </c>
      <c r="B10" s="385" t="s">
        <v>797</v>
      </c>
      <c r="C10" s="386">
        <f>+[2]Mercados!$D$5</f>
        <v>221014.63499999998</v>
      </c>
      <c r="D10" s="513"/>
      <c r="E10" s="467"/>
      <c r="F10" s="467"/>
      <c r="H10" s="86"/>
    </row>
    <row r="11" spans="1:10" x14ac:dyDescent="0.2">
      <c r="A11" s="385">
        <v>7</v>
      </c>
      <c r="B11" s="385" t="s">
        <v>799</v>
      </c>
      <c r="C11" s="386">
        <f>+[2]SEMERTAZ!$D$5</f>
        <v>422900.59</v>
      </c>
      <c r="D11" s="513"/>
      <c r="E11" s="467"/>
      <c r="F11" s="467"/>
      <c r="H11" s="86"/>
    </row>
    <row r="12" spans="1:10" x14ac:dyDescent="0.2">
      <c r="A12" s="385">
        <v>8</v>
      </c>
      <c r="B12" s="385" t="s">
        <v>818</v>
      </c>
      <c r="C12" s="386">
        <f>+[2]CCBS!$D$5</f>
        <v>204764.09</v>
      </c>
      <c r="D12" s="513"/>
      <c r="E12" s="467"/>
      <c r="F12" s="467"/>
      <c r="H12" s="86"/>
    </row>
    <row r="13" spans="1:10" x14ac:dyDescent="0.2">
      <c r="A13" s="385">
        <v>9</v>
      </c>
      <c r="B13" s="385" t="s">
        <v>741</v>
      </c>
      <c r="C13" s="386">
        <f>+'[2]Registro Propiedad'!$D$7</f>
        <v>600000</v>
      </c>
      <c r="D13" s="513"/>
      <c r="E13" s="467"/>
      <c r="F13" s="467"/>
      <c r="H13" s="86"/>
    </row>
    <row r="14" spans="1:10" x14ac:dyDescent="0.2">
      <c r="A14" s="385">
        <v>10</v>
      </c>
      <c r="B14" s="385" t="s">
        <v>819</v>
      </c>
      <c r="C14" s="386">
        <f>+'[2]Accion Social'!$E$9</f>
        <v>300340.92</v>
      </c>
      <c r="D14" s="513"/>
      <c r="E14" s="467"/>
      <c r="F14" s="467"/>
      <c r="H14" s="86"/>
    </row>
    <row r="15" spans="1:10" x14ac:dyDescent="0.2">
      <c r="A15" s="385">
        <v>11</v>
      </c>
      <c r="B15" s="385" t="s">
        <v>742</v>
      </c>
      <c r="C15" s="386">
        <f>+[2]Movilidad!$D$7</f>
        <v>625677.72</v>
      </c>
      <c r="D15" s="513"/>
      <c r="E15" s="467"/>
      <c r="F15" s="467"/>
      <c r="H15" s="86"/>
    </row>
    <row r="16" spans="1:10" x14ac:dyDescent="0.2">
      <c r="A16" s="387"/>
      <c r="B16" s="387" t="s">
        <v>814</v>
      </c>
      <c r="C16" s="388">
        <f>SUM(C5:C15)</f>
        <v>27216480.56000011</v>
      </c>
      <c r="D16" s="514"/>
      <c r="E16" s="467"/>
      <c r="F16" s="467"/>
      <c r="H16" s="86"/>
    </row>
    <row r="17" spans="1:10" x14ac:dyDescent="0.2">
      <c r="C17" s="2"/>
      <c r="E17" s="473"/>
      <c r="H17" s="86"/>
    </row>
    <row r="18" spans="1:10" x14ac:dyDescent="0.2">
      <c r="C18" s="2"/>
      <c r="E18" s="467"/>
      <c r="H18" s="86"/>
    </row>
    <row r="19" spans="1:10" x14ac:dyDescent="0.2">
      <c r="C19" s="135"/>
      <c r="D19" s="473"/>
      <c r="E19" s="467"/>
      <c r="F19" s="467"/>
      <c r="H19" s="86"/>
    </row>
    <row r="20" spans="1:10" x14ac:dyDescent="0.2">
      <c r="B20" s="26"/>
      <c r="C20" s="214"/>
      <c r="D20" s="22"/>
      <c r="E20" s="22"/>
      <c r="F20" s="22"/>
      <c r="H20" s="86"/>
    </row>
    <row r="21" spans="1:10" ht="18" x14ac:dyDescent="0.2">
      <c r="A21" s="342"/>
      <c r="B21" s="566" t="s">
        <v>406</v>
      </c>
      <c r="C21" s="566"/>
      <c r="D21" s="133"/>
      <c r="E21" s="133"/>
      <c r="F21" s="133"/>
      <c r="H21" s="86"/>
    </row>
    <row r="22" spans="1:10" ht="17.25" x14ac:dyDescent="0.2">
      <c r="A22" s="342"/>
      <c r="B22" s="564" t="s">
        <v>939</v>
      </c>
      <c r="C22" s="564"/>
      <c r="D22" s="31"/>
      <c r="E22" s="31"/>
      <c r="F22" s="31"/>
      <c r="H22" s="86"/>
    </row>
    <row r="23" spans="1:10" x14ac:dyDescent="0.2">
      <c r="H23" s="473"/>
    </row>
    <row r="24" spans="1:10" ht="14.25" x14ac:dyDescent="0.2">
      <c r="A24" s="387" t="s">
        <v>407</v>
      </c>
      <c r="B24" s="389" t="s">
        <v>401</v>
      </c>
      <c r="C24" s="389" t="s">
        <v>399</v>
      </c>
    </row>
    <row r="25" spans="1:10" x14ac:dyDescent="0.2">
      <c r="A25" s="385">
        <v>1</v>
      </c>
      <c r="B25" s="385" t="s">
        <v>208</v>
      </c>
      <c r="C25" s="386">
        <f>General!D8</f>
        <v>4026645.6449999996</v>
      </c>
      <c r="D25" s="513"/>
      <c r="E25" s="467"/>
      <c r="G25" s="86"/>
      <c r="H25" s="473"/>
      <c r="J25" s="318"/>
    </row>
    <row r="26" spans="1:10" x14ac:dyDescent="0.2">
      <c r="A26" s="385">
        <v>2</v>
      </c>
      <c r="B26" s="385" t="s">
        <v>81</v>
      </c>
      <c r="C26" s="386">
        <f>Financiera!D9</f>
        <v>649926.5</v>
      </c>
      <c r="D26" s="513"/>
      <c r="E26" s="467"/>
      <c r="G26" s="86"/>
      <c r="H26" s="473"/>
    </row>
    <row r="27" spans="1:10" x14ac:dyDescent="0.2">
      <c r="A27" s="385">
        <v>3</v>
      </c>
      <c r="B27" s="385" t="s">
        <v>215</v>
      </c>
      <c r="C27" s="386">
        <f>+Terminal!D8</f>
        <v>150106.53</v>
      </c>
      <c r="D27" s="513"/>
      <c r="G27" s="86"/>
      <c r="H27" s="473"/>
      <c r="J27" s="135"/>
    </row>
    <row r="28" spans="1:10" x14ac:dyDescent="0.2">
      <c r="A28" s="385">
        <v>4</v>
      </c>
      <c r="B28" s="385" t="s">
        <v>242</v>
      </c>
      <c r="C28" s="386">
        <f>+CCBS!D8</f>
        <v>195961.03999999998</v>
      </c>
      <c r="D28" s="513"/>
      <c r="G28" s="86"/>
      <c r="H28" s="473"/>
    </row>
    <row r="29" spans="1:10" x14ac:dyDescent="0.2">
      <c r="A29" s="385">
        <v>5</v>
      </c>
      <c r="B29" s="385" t="s">
        <v>741</v>
      </c>
      <c r="C29" s="386">
        <f>+Registro!D7</f>
        <v>253395.65000000002</v>
      </c>
      <c r="D29" s="513"/>
      <c r="E29" s="467"/>
      <c r="G29" s="86"/>
      <c r="H29" s="473"/>
    </row>
    <row r="30" spans="1:10" x14ac:dyDescent="0.2">
      <c r="A30" s="385">
        <v>6</v>
      </c>
      <c r="B30" s="385" t="s">
        <v>209</v>
      </c>
      <c r="C30" s="386">
        <f>+'VIGILANCIA Y SEGURIDAD'!D8</f>
        <v>172582.35</v>
      </c>
      <c r="D30" s="513"/>
      <c r="G30" s="86"/>
      <c r="H30" s="473"/>
    </row>
    <row r="31" spans="1:10" x14ac:dyDescent="0.2">
      <c r="A31" s="385">
        <v>7</v>
      </c>
      <c r="B31" s="385" t="s">
        <v>210</v>
      </c>
      <c r="C31" s="386">
        <f>+'Educ.Cult '!D8</f>
        <v>559828.65</v>
      </c>
      <c r="D31" s="513"/>
      <c r="E31" s="467"/>
      <c r="G31" s="86"/>
      <c r="H31" s="473"/>
    </row>
    <row r="32" spans="1:10" x14ac:dyDescent="0.2">
      <c r="A32" s="385">
        <v>8</v>
      </c>
      <c r="B32" s="385" t="s">
        <v>736</v>
      </c>
      <c r="C32" s="386">
        <f>+A.social!D8</f>
        <v>787301.15000000014</v>
      </c>
      <c r="D32" s="513"/>
      <c r="E32" s="467"/>
      <c r="F32" s="467"/>
      <c r="G32" s="86"/>
      <c r="H32" s="473"/>
    </row>
    <row r="33" spans="1:12" x14ac:dyDescent="0.2">
      <c r="A33" s="385">
        <v>9</v>
      </c>
      <c r="B33" s="385" t="s">
        <v>737</v>
      </c>
      <c r="C33" s="386">
        <f>+A.social!D77</f>
        <v>1363494.27</v>
      </c>
      <c r="D33" s="513"/>
      <c r="E33" s="467"/>
      <c r="G33" s="86"/>
      <c r="H33" s="473"/>
    </row>
    <row r="34" spans="1:12" x14ac:dyDescent="0.2">
      <c r="A34" s="385">
        <v>10</v>
      </c>
      <c r="B34" s="385" t="s">
        <v>2</v>
      </c>
      <c r="C34" s="386">
        <f>+'DESARROLLO SOC'!D8</f>
        <v>315559.51</v>
      </c>
      <c r="D34" s="513"/>
      <c r="E34" s="467"/>
      <c r="G34" s="86"/>
      <c r="H34" s="473"/>
    </row>
    <row r="35" spans="1:12" x14ac:dyDescent="0.2">
      <c r="A35" s="385">
        <v>11</v>
      </c>
      <c r="B35" s="385" t="s">
        <v>725</v>
      </c>
      <c r="C35" s="386">
        <f>+'Gestion Riegos'!D8</f>
        <v>142732.20500000002</v>
      </c>
      <c r="D35" s="513"/>
      <c r="E35" s="467"/>
      <c r="G35" s="86"/>
      <c r="H35" s="473"/>
    </row>
    <row r="36" spans="1:12" x14ac:dyDescent="0.2">
      <c r="A36" s="385">
        <v>12</v>
      </c>
      <c r="B36" s="385" t="s">
        <v>211</v>
      </c>
      <c r="C36" s="386">
        <f>+Planif.!D8</f>
        <v>1092921.835</v>
      </c>
      <c r="D36" s="513"/>
      <c r="E36" s="467"/>
      <c r="F36" s="467"/>
      <c r="G36" s="86"/>
      <c r="H36" s="473"/>
    </row>
    <row r="37" spans="1:12" x14ac:dyDescent="0.2">
      <c r="A37" s="385">
        <v>13</v>
      </c>
      <c r="B37" s="385" t="s">
        <v>281</v>
      </c>
      <c r="C37" s="386">
        <f>+SEMERTAZ!D8</f>
        <v>567673.86</v>
      </c>
      <c r="D37" s="513"/>
      <c r="E37" s="467"/>
      <c r="G37" s="86"/>
      <c r="H37" s="473"/>
    </row>
    <row r="38" spans="1:12" x14ac:dyDescent="0.2">
      <c r="A38" s="385">
        <v>14</v>
      </c>
      <c r="B38" s="385" t="s">
        <v>742</v>
      </c>
      <c r="C38" s="386">
        <f>+Movilidad!D10</f>
        <v>924573.54999999993</v>
      </c>
      <c r="D38" s="513"/>
      <c r="G38" s="86"/>
      <c r="H38" s="473"/>
    </row>
    <row r="39" spans="1:12" x14ac:dyDescent="0.2">
      <c r="A39" s="385">
        <v>15</v>
      </c>
      <c r="B39" s="385" t="s">
        <v>87</v>
      </c>
      <c r="C39" s="386">
        <f>+'OBRAS PÚBLICAS'!D8</f>
        <v>9923581.0250000004</v>
      </c>
      <c r="D39" s="513"/>
      <c r="E39" s="467"/>
      <c r="G39" s="86"/>
      <c r="H39" s="473"/>
    </row>
    <row r="40" spans="1:12" x14ac:dyDescent="0.2">
      <c r="A40" s="385">
        <v>16</v>
      </c>
      <c r="B40" s="385" t="s">
        <v>212</v>
      </c>
      <c r="C40" s="386">
        <f>+'P.y Jard.'!D7</f>
        <v>442499.11</v>
      </c>
      <c r="D40" s="513"/>
      <c r="E40" s="467"/>
      <c r="G40" s="86"/>
      <c r="H40" s="473"/>
    </row>
    <row r="41" spans="1:12" x14ac:dyDescent="0.2">
      <c r="A41" s="385">
        <v>17</v>
      </c>
      <c r="B41" s="385" t="s">
        <v>226</v>
      </c>
      <c r="C41" s="386">
        <f>+barrido!D8</f>
        <v>992419.1</v>
      </c>
      <c r="D41" s="513"/>
      <c r="E41" s="467"/>
      <c r="F41" s="235"/>
      <c r="G41" s="517"/>
      <c r="H41" s="517"/>
      <c r="I41" s="26"/>
      <c r="J41" s="26"/>
      <c r="K41" s="26"/>
      <c r="L41" s="26"/>
    </row>
    <row r="42" spans="1:12" x14ac:dyDescent="0.2">
      <c r="A42" s="385">
        <v>18</v>
      </c>
      <c r="B42" s="385" t="s">
        <v>738</v>
      </c>
      <c r="C42" s="386">
        <f>+'ADMINISTRACION ASEO'!D8</f>
        <v>117229.35</v>
      </c>
      <c r="D42" s="513"/>
      <c r="F42" s="235"/>
      <c r="G42" s="235"/>
      <c r="H42" s="235"/>
      <c r="I42" s="26"/>
      <c r="J42" s="26"/>
      <c r="K42" s="26"/>
      <c r="L42" s="518"/>
    </row>
    <row r="43" spans="1:12" x14ac:dyDescent="0.2">
      <c r="A43" s="385">
        <v>19</v>
      </c>
      <c r="B43" s="385" t="s">
        <v>227</v>
      </c>
      <c r="C43" s="386">
        <f>+RECOLECCION!D9</f>
        <v>211616.76</v>
      </c>
      <c r="D43" s="513"/>
      <c r="F43" s="235"/>
      <c r="G43" s="235"/>
      <c r="H43" s="235"/>
      <c r="I43" s="26"/>
      <c r="J43" s="26"/>
      <c r="K43" s="26"/>
      <c r="L43" s="26"/>
    </row>
    <row r="44" spans="1:12" x14ac:dyDescent="0.2">
      <c r="A44" s="385">
        <v>20</v>
      </c>
      <c r="B44" s="385" t="s">
        <v>291</v>
      </c>
      <c r="C44" s="386">
        <f>+disposicion!D9</f>
        <v>717600</v>
      </c>
      <c r="D44" s="513"/>
      <c r="F44" s="235"/>
      <c r="G44" s="235"/>
      <c r="H44" s="235"/>
      <c r="I44" s="26"/>
      <c r="J44" s="26"/>
      <c r="K44" s="26"/>
      <c r="L44" s="26"/>
    </row>
    <row r="45" spans="1:12" x14ac:dyDescent="0.2">
      <c r="A45" s="385">
        <v>21</v>
      </c>
      <c r="B45" s="385" t="s">
        <v>231</v>
      </c>
      <c r="C45" s="386">
        <f>+educacion!D9</f>
        <v>63000</v>
      </c>
      <c r="D45" s="513"/>
      <c r="F45" s="235"/>
      <c r="G45" s="235"/>
      <c r="H45" s="235"/>
      <c r="I45" s="26"/>
      <c r="J45" s="26"/>
      <c r="K45" s="26"/>
      <c r="L45" s="26"/>
    </row>
    <row r="46" spans="1:12" x14ac:dyDescent="0.2">
      <c r="A46" s="385">
        <v>22</v>
      </c>
      <c r="B46" s="385" t="s">
        <v>216</v>
      </c>
      <c r="C46" s="386">
        <f>+Cementerio!D9</f>
        <v>144675.88</v>
      </c>
      <c r="D46" s="513"/>
      <c r="F46" s="235"/>
      <c r="G46" s="235"/>
      <c r="H46" s="235"/>
      <c r="I46" s="26"/>
      <c r="J46" s="26"/>
      <c r="K46" s="518"/>
      <c r="L46" s="26"/>
    </row>
    <row r="47" spans="1:12" x14ac:dyDescent="0.2">
      <c r="A47" s="385">
        <v>23</v>
      </c>
      <c r="B47" s="385" t="s">
        <v>214</v>
      </c>
      <c r="C47" s="386">
        <f>+Mercados!D8</f>
        <v>267614.84000000003</v>
      </c>
      <c r="D47" s="513"/>
      <c r="F47" s="235"/>
      <c r="G47" s="235"/>
      <c r="H47" s="235"/>
      <c r="I47" s="26"/>
      <c r="J47" s="26"/>
      <c r="K47" s="26"/>
      <c r="L47" s="518"/>
    </row>
    <row r="48" spans="1:12" x14ac:dyDescent="0.2">
      <c r="A48" s="385">
        <v>24</v>
      </c>
      <c r="B48" s="385" t="s">
        <v>181</v>
      </c>
      <c r="C48" s="386">
        <f>+Camal!D9</f>
        <v>177322.94500000001</v>
      </c>
      <c r="D48" s="513"/>
      <c r="E48" s="467"/>
      <c r="F48" s="235"/>
      <c r="G48" s="235"/>
      <c r="H48" s="235"/>
      <c r="I48" s="26"/>
      <c r="J48" s="26"/>
      <c r="K48" s="26"/>
      <c r="L48" s="26"/>
    </row>
    <row r="49" spans="1:12" x14ac:dyDescent="0.2">
      <c r="A49" s="385">
        <v>25</v>
      </c>
      <c r="B49" s="385" t="s">
        <v>213</v>
      </c>
      <c r="C49" s="386">
        <f>+G.comunes!D8</f>
        <v>2956218.8</v>
      </c>
      <c r="D49" s="513"/>
      <c r="F49" s="235"/>
      <c r="G49" s="235"/>
      <c r="H49" s="235"/>
      <c r="I49" s="26"/>
      <c r="J49" s="26"/>
      <c r="K49" s="26"/>
      <c r="L49" s="518"/>
    </row>
    <row r="50" spans="1:12" x14ac:dyDescent="0.2">
      <c r="A50" s="385"/>
      <c r="B50" s="387" t="s">
        <v>405</v>
      </c>
      <c r="C50" s="390">
        <f>SUM(C25:C49)</f>
        <v>27216480.555000007</v>
      </c>
      <c r="D50" s="514"/>
      <c r="E50" s="86"/>
      <c r="F50" s="235"/>
      <c r="G50" s="235"/>
      <c r="H50" s="235"/>
      <c r="I50" s="26"/>
      <c r="J50" s="26"/>
      <c r="K50" s="26"/>
      <c r="L50" s="26"/>
    </row>
    <row r="51" spans="1:12" x14ac:dyDescent="0.2">
      <c r="C51" s="2"/>
      <c r="E51" s="18"/>
      <c r="F51" s="235"/>
      <c r="G51" s="235"/>
      <c r="H51" s="235"/>
      <c r="I51" s="26"/>
      <c r="J51" s="26"/>
      <c r="K51" s="26"/>
      <c r="L51" s="26"/>
    </row>
    <row r="52" spans="1:12" x14ac:dyDescent="0.2">
      <c r="B52" s="134"/>
      <c r="C52" s="507">
        <f>C16-C50</f>
        <v>5.0001032650470734E-3</v>
      </c>
      <c r="D52" s="516"/>
      <c r="F52" s="235"/>
      <c r="G52" s="235"/>
      <c r="H52" s="235"/>
      <c r="I52" s="26"/>
      <c r="J52" s="26"/>
      <c r="K52" s="26"/>
      <c r="L52" s="26"/>
    </row>
    <row r="53" spans="1:12" x14ac:dyDescent="0.2">
      <c r="C53" s="506"/>
      <c r="F53" s="235"/>
      <c r="G53" s="235"/>
      <c r="H53" s="235"/>
      <c r="I53" s="26"/>
      <c r="J53" s="26"/>
      <c r="K53" s="26"/>
      <c r="L53" s="26"/>
    </row>
    <row r="54" spans="1:12" x14ac:dyDescent="0.2">
      <c r="C54" s="318"/>
      <c r="D54" s="473"/>
      <c r="F54" s="235"/>
      <c r="G54" s="235"/>
      <c r="H54" s="235"/>
      <c r="I54" s="26"/>
      <c r="J54" s="26"/>
      <c r="K54" s="26"/>
      <c r="L54" s="26"/>
    </row>
    <row r="55" spans="1:12" x14ac:dyDescent="0.2">
      <c r="B55" s="505"/>
      <c r="C55" s="119"/>
      <c r="F55" s="235"/>
      <c r="G55" s="235"/>
      <c r="H55" s="235"/>
      <c r="I55" s="26"/>
      <c r="J55" s="519"/>
      <c r="K55" s="26"/>
      <c r="L55" s="26"/>
    </row>
    <row r="56" spans="1:12" x14ac:dyDescent="0.2">
      <c r="C56" s="135"/>
      <c r="F56" s="235"/>
      <c r="G56" s="235"/>
      <c r="H56" s="235"/>
      <c r="I56" s="26"/>
      <c r="J56" s="26"/>
      <c r="K56" s="26"/>
      <c r="L56" s="26"/>
    </row>
    <row r="57" spans="1:12" x14ac:dyDescent="0.2">
      <c r="C57" s="119"/>
      <c r="F57" s="235"/>
      <c r="G57" s="235"/>
      <c r="H57" s="235"/>
      <c r="I57" s="26"/>
      <c r="J57" s="26"/>
      <c r="K57" s="26"/>
      <c r="L57" s="26"/>
    </row>
    <row r="58" spans="1:12" x14ac:dyDescent="0.2">
      <c r="C58" s="119"/>
      <c r="F58" s="22"/>
      <c r="G58" s="22"/>
      <c r="H58" s="22"/>
      <c r="I58" s="26"/>
      <c r="J58" s="26"/>
      <c r="K58" s="26"/>
      <c r="L58" s="26"/>
    </row>
    <row r="59" spans="1:12" x14ac:dyDescent="0.2">
      <c r="C59" s="119"/>
      <c r="D59" s="473"/>
      <c r="F59" s="22"/>
      <c r="G59" s="22"/>
      <c r="H59" s="474"/>
      <c r="I59" s="26"/>
      <c r="J59" s="519"/>
      <c r="K59" s="26"/>
      <c r="L59" s="26"/>
    </row>
    <row r="60" spans="1:12" x14ac:dyDescent="0.2">
      <c r="C60" s="318"/>
      <c r="F60" s="22"/>
      <c r="G60" s="474"/>
      <c r="H60" s="22"/>
      <c r="I60" s="26"/>
      <c r="J60" s="26"/>
      <c r="K60" s="26"/>
      <c r="L60" s="26"/>
    </row>
    <row r="61" spans="1:12" x14ac:dyDescent="0.2">
      <c r="C61" s="135"/>
      <c r="F61" s="22"/>
      <c r="G61" s="22"/>
      <c r="H61" s="22"/>
      <c r="I61" s="26"/>
      <c r="J61" s="26"/>
      <c r="K61" s="26"/>
      <c r="L61" s="26"/>
    </row>
    <row r="62" spans="1:12" x14ac:dyDescent="0.2">
      <c r="C62" s="318"/>
      <c r="E62" s="467"/>
      <c r="F62" s="22"/>
      <c r="G62" s="22"/>
      <c r="H62" s="22"/>
      <c r="I62" s="26"/>
      <c r="J62" s="26"/>
      <c r="K62" s="26"/>
      <c r="L62" s="26"/>
    </row>
    <row r="63" spans="1:12" x14ac:dyDescent="0.2">
      <c r="C63" s="135"/>
    </row>
    <row r="64" spans="1:12" x14ac:dyDescent="0.2">
      <c r="G64" s="467"/>
    </row>
    <row r="65" spans="3:5" x14ac:dyDescent="0.2">
      <c r="C65" s="135"/>
      <c r="D65" s="467"/>
    </row>
    <row r="66" spans="3:5" x14ac:dyDescent="0.2">
      <c r="C66" s="135"/>
    </row>
    <row r="68" spans="3:5" x14ac:dyDescent="0.2">
      <c r="C68" s="509"/>
      <c r="E68" s="467"/>
    </row>
    <row r="69" spans="3:5" x14ac:dyDescent="0.2">
      <c r="E69" s="467"/>
    </row>
    <row r="71" spans="3:5" x14ac:dyDescent="0.2">
      <c r="E71" s="467"/>
    </row>
    <row r="74" spans="3:5" x14ac:dyDescent="0.2">
      <c r="E74" s="467"/>
    </row>
    <row r="76" spans="3:5" x14ac:dyDescent="0.2">
      <c r="E76" s="467"/>
    </row>
  </sheetData>
  <mergeCells count="4">
    <mergeCell ref="B21:C21"/>
    <mergeCell ref="B22:C22"/>
    <mergeCell ref="B1:C1"/>
    <mergeCell ref="B2:C2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4"/>
  </sheetPr>
  <dimension ref="A1:IV20"/>
  <sheetViews>
    <sheetView showGridLines="0" topLeftCell="A25" zoomScale="118" zoomScaleNormal="118" workbookViewId="0">
      <selection activeCell="H50" sqref="H50"/>
    </sheetView>
  </sheetViews>
  <sheetFormatPr baseColWidth="10" defaultRowHeight="11.25" x14ac:dyDescent="0.2"/>
  <cols>
    <col min="1" max="1" width="13.7109375" style="304" customWidth="1"/>
    <col min="2" max="2" width="11.85546875" style="304" bestFit="1" customWidth="1"/>
    <col min="3" max="3" width="11.28515625" style="304" customWidth="1"/>
    <col min="4" max="4" width="10.42578125" style="304" bestFit="1" customWidth="1"/>
    <col min="5" max="5" width="11.28515625" style="304" customWidth="1"/>
    <col min="6" max="6" width="11.85546875" style="304" bestFit="1" customWidth="1"/>
    <col min="7" max="7" width="9.85546875" style="304" customWidth="1"/>
    <col min="8" max="8" width="13.28515625" style="304" customWidth="1"/>
    <col min="9" max="9" width="12.7109375" style="304" customWidth="1"/>
    <col min="10" max="10" width="10" style="304" customWidth="1"/>
    <col min="11" max="11" width="11.7109375" style="304" customWidth="1"/>
    <col min="12" max="12" width="12.140625" style="304" customWidth="1"/>
    <col min="13" max="13" width="10.5703125" style="304" customWidth="1"/>
    <col min="14" max="15" width="10" style="304" customWidth="1"/>
    <col min="16" max="16" width="11" style="304" customWidth="1"/>
    <col min="17" max="17" width="11.28515625" style="304" customWidth="1"/>
    <col min="18" max="18" width="10.28515625" style="304" customWidth="1"/>
    <col min="19" max="19" width="10.42578125" style="304" customWidth="1"/>
    <col min="20" max="20" width="11.140625" style="304" customWidth="1"/>
    <col min="21" max="21" width="12.28515625" style="305" customWidth="1"/>
    <col min="22" max="22" width="12.7109375" style="304" customWidth="1"/>
    <col min="23" max="23" width="8.7109375" style="304" customWidth="1"/>
    <col min="24" max="16384" width="11.42578125" style="304"/>
  </cols>
  <sheetData>
    <row r="1" spans="1:256" s="316" customFormat="1" ht="15" x14ac:dyDescent="0.2">
      <c r="A1" s="567" t="s">
        <v>406</v>
      </c>
      <c r="B1" s="567"/>
      <c r="C1" s="567"/>
      <c r="D1" s="567"/>
      <c r="E1" s="567"/>
      <c r="F1" s="567"/>
      <c r="G1" s="567"/>
      <c r="H1" s="567"/>
      <c r="I1" s="567"/>
      <c r="J1" s="567"/>
      <c r="K1" s="567"/>
      <c r="L1" s="567"/>
      <c r="M1" s="567"/>
      <c r="N1" s="567"/>
      <c r="O1" s="567"/>
      <c r="P1" s="567"/>
      <c r="Q1" s="567"/>
      <c r="R1" s="567"/>
      <c r="S1" s="567"/>
      <c r="T1" s="567"/>
      <c r="U1" s="567"/>
      <c r="V1" s="567"/>
      <c r="W1" s="567"/>
      <c r="IV1" s="317"/>
    </row>
    <row r="2" spans="1:256" s="316" customFormat="1" ht="14.25" customHeight="1" x14ac:dyDescent="0.2">
      <c r="A2" s="568" t="s">
        <v>931</v>
      </c>
      <c r="B2" s="568"/>
      <c r="C2" s="568"/>
      <c r="D2" s="568"/>
      <c r="E2" s="568"/>
      <c r="F2" s="568"/>
      <c r="G2" s="568"/>
      <c r="H2" s="568"/>
      <c r="I2" s="568"/>
      <c r="J2" s="568"/>
      <c r="K2" s="568"/>
      <c r="L2" s="568"/>
      <c r="M2" s="568"/>
      <c r="N2" s="568"/>
      <c r="O2" s="568"/>
      <c r="P2" s="568"/>
      <c r="Q2" s="568"/>
      <c r="R2" s="568"/>
      <c r="S2" s="568"/>
      <c r="T2" s="568"/>
      <c r="U2" s="568"/>
      <c r="V2" s="568"/>
      <c r="W2" s="568"/>
      <c r="X2" s="382"/>
    </row>
    <row r="3" spans="1:256" s="312" customFormat="1" ht="15" customHeight="1" x14ac:dyDescent="0.2">
      <c r="A3" s="569" t="s">
        <v>811</v>
      </c>
      <c r="B3" s="569"/>
      <c r="C3" s="569"/>
      <c r="D3" s="569"/>
      <c r="E3" s="569"/>
      <c r="F3" s="569"/>
      <c r="G3" s="569"/>
      <c r="H3" s="569"/>
      <c r="I3" s="569"/>
      <c r="J3" s="569"/>
      <c r="K3" s="569"/>
      <c r="L3" s="569"/>
      <c r="M3" s="569"/>
      <c r="N3" s="569"/>
      <c r="O3" s="569"/>
      <c r="P3" s="569"/>
      <c r="Q3" s="569"/>
      <c r="R3" s="569"/>
      <c r="S3" s="569"/>
      <c r="T3" s="569"/>
      <c r="U3" s="569"/>
      <c r="V3" s="569"/>
      <c r="W3" s="569"/>
      <c r="X3" s="393"/>
    </row>
    <row r="4" spans="1:256" s="312" customFormat="1" ht="15" customHeight="1" x14ac:dyDescent="0.2">
      <c r="A4" s="315"/>
      <c r="B4" s="314"/>
      <c r="C4" s="314"/>
      <c r="D4" s="314"/>
      <c r="E4" s="314"/>
      <c r="F4" s="314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  <c r="R4" s="314"/>
      <c r="S4" s="314"/>
      <c r="T4" s="314"/>
      <c r="U4" s="313"/>
      <c r="Y4" s="391"/>
    </row>
    <row r="5" spans="1:256" s="309" customFormat="1" ht="49.5" customHeight="1" x14ac:dyDescent="0.2">
      <c r="A5" s="411" t="s">
        <v>450</v>
      </c>
      <c r="B5" s="403" t="s">
        <v>810</v>
      </c>
      <c r="C5" s="403" t="s">
        <v>809</v>
      </c>
      <c r="D5" s="403" t="s">
        <v>808</v>
      </c>
      <c r="E5" s="403" t="s">
        <v>807</v>
      </c>
      <c r="F5" s="403" t="s">
        <v>806</v>
      </c>
      <c r="G5" s="403" t="s">
        <v>2</v>
      </c>
      <c r="H5" s="403" t="s">
        <v>805</v>
      </c>
      <c r="I5" s="403" t="s">
        <v>804</v>
      </c>
      <c r="J5" s="403" t="s">
        <v>803</v>
      </c>
      <c r="K5" s="403" t="s">
        <v>802</v>
      </c>
      <c r="L5" s="403" t="s">
        <v>801</v>
      </c>
      <c r="M5" s="403" t="s">
        <v>800</v>
      </c>
      <c r="N5" s="403" t="s">
        <v>799</v>
      </c>
      <c r="O5" s="403" t="s">
        <v>798</v>
      </c>
      <c r="P5" s="403" t="s">
        <v>797</v>
      </c>
      <c r="Q5" s="403" t="s">
        <v>604</v>
      </c>
      <c r="R5" s="403" t="s">
        <v>796</v>
      </c>
      <c r="S5" s="403" t="s">
        <v>742</v>
      </c>
      <c r="T5" s="403" t="s">
        <v>725</v>
      </c>
      <c r="U5" s="403" t="s">
        <v>795</v>
      </c>
      <c r="V5" s="403" t="s">
        <v>7</v>
      </c>
      <c r="W5" s="403" t="s">
        <v>813</v>
      </c>
      <c r="X5" s="311"/>
      <c r="Y5" s="311"/>
      <c r="Z5" s="310"/>
    </row>
    <row r="6" spans="1:256" s="5" customFormat="1" ht="24.95" customHeight="1" x14ac:dyDescent="0.2">
      <c r="A6" s="394" t="s">
        <v>794</v>
      </c>
      <c r="B6" s="395">
        <f>+General!D9</f>
        <v>3801145.6449999996</v>
      </c>
      <c r="C6" s="395">
        <f>+Financiera!D10</f>
        <v>646926.5</v>
      </c>
      <c r="D6" s="395">
        <f>+'VIGILANCIA Y SEGURIDAD'!D9</f>
        <v>172582.35</v>
      </c>
      <c r="E6" s="395"/>
      <c r="F6" s="395"/>
      <c r="G6" s="395">
        <f>+'DESARROLLO SOC'!D9</f>
        <v>295559.51</v>
      </c>
      <c r="H6" s="395"/>
      <c r="I6" s="395"/>
      <c r="J6" s="395">
        <f>+'P.y Jard.'!D8</f>
        <v>252311.74</v>
      </c>
      <c r="K6" s="395">
        <f>+G.comunes!D9</f>
        <v>1999629.38</v>
      </c>
      <c r="L6" s="395">
        <f>+Cementerio!D10</f>
        <v>120375.87999999999</v>
      </c>
      <c r="M6" s="395">
        <f>+Camal!D10</f>
        <v>177322.94500000001</v>
      </c>
      <c r="N6" s="395">
        <f>+SEMERTAZ!D9</f>
        <v>541753.86</v>
      </c>
      <c r="O6" s="395">
        <f>+CCBS!D9</f>
        <v>180761.03999999998</v>
      </c>
      <c r="P6" s="395">
        <f>+Mercados!D9</f>
        <v>262614.84000000003</v>
      </c>
      <c r="Q6" s="395">
        <f>+barrido!D9+'ADMINISTRACION ASEO'!D9+RECOLECCION!D10+disposicion!D10+educacion!D10</f>
        <v>916016.94</v>
      </c>
      <c r="R6" s="395">
        <f>+Terminal!D9</f>
        <v>139073.81</v>
      </c>
      <c r="S6" s="395"/>
      <c r="T6" s="395">
        <f>+'Gestion Riegos'!D9</f>
        <v>49076.205000000002</v>
      </c>
      <c r="U6" s="404">
        <f>+Registro!D8</f>
        <v>253395.65000000002</v>
      </c>
      <c r="V6" s="405">
        <f>SUM(B6:U6)</f>
        <v>9808546.2949999999</v>
      </c>
      <c r="W6" s="406">
        <f>V6/V12</f>
        <v>0.36038995839960103</v>
      </c>
      <c r="Y6" s="23"/>
    </row>
    <row r="7" spans="1:256" s="5" customFormat="1" ht="24.95" customHeight="1" x14ac:dyDescent="0.2">
      <c r="A7" s="396" t="s">
        <v>793</v>
      </c>
      <c r="B7" s="397">
        <f>+General!D81</f>
        <v>209500</v>
      </c>
      <c r="C7" s="397">
        <f>+Financiera!D55</f>
        <v>3000</v>
      </c>
      <c r="D7" s="397"/>
      <c r="E7" s="397">
        <f>+'Educ.Cult '!D95</f>
        <v>3000</v>
      </c>
      <c r="F7" s="397">
        <f>+A.social!D171</f>
        <v>24180</v>
      </c>
      <c r="G7" s="397"/>
      <c r="H7" s="397">
        <f>+Planif.!D55</f>
        <v>73400</v>
      </c>
      <c r="I7" s="397">
        <f>+'OBRAS PÚBLICAS'!D97+'OBRAS PÚBLICAS'!D94</f>
        <v>666000</v>
      </c>
      <c r="J7" s="397">
        <f>+'P.y Jard.'!D53</f>
        <v>5000</v>
      </c>
      <c r="K7" s="397"/>
      <c r="L7" s="397">
        <f>+Cementerio!D71</f>
        <v>0</v>
      </c>
      <c r="M7" s="397">
        <f>+Camal!D65</f>
        <v>0</v>
      </c>
      <c r="N7" s="397">
        <f>+SEMERTAZ!D61</f>
        <v>7480</v>
      </c>
      <c r="O7" s="397">
        <f>+CCBS!D74</f>
        <v>2500</v>
      </c>
      <c r="P7" s="397">
        <f>+Mercados!D64</f>
        <v>5000</v>
      </c>
      <c r="Q7" s="397">
        <f>+disposicion!D45</f>
        <v>355000</v>
      </c>
      <c r="R7" s="397">
        <f>+Terminal!D67</f>
        <v>3380.44</v>
      </c>
      <c r="S7" s="397">
        <f>+Movilidad!D68</f>
        <v>3000</v>
      </c>
      <c r="T7" s="397">
        <f>+'Gestion Riegos'!D55</f>
        <v>0</v>
      </c>
      <c r="U7" s="402">
        <f>+Registro!D66</f>
        <v>0</v>
      </c>
      <c r="V7" s="407">
        <f t="shared" ref="V7:V11" si="0">SUM(B7:U7)</f>
        <v>1360440.44</v>
      </c>
      <c r="W7" s="406">
        <f>V7/V12</f>
        <v>4.9985906048755094E-2</v>
      </c>
    </row>
    <row r="8" spans="1:256" s="5" customFormat="1" ht="24.95" customHeight="1" x14ac:dyDescent="0.2">
      <c r="A8" s="396" t="s">
        <v>792</v>
      </c>
      <c r="B8" s="397">
        <f>+General!D74</f>
        <v>16000</v>
      </c>
      <c r="C8" s="397"/>
      <c r="D8" s="397"/>
      <c r="E8" s="397">
        <f>+'Educ.Cult '!D9</f>
        <v>556828.65</v>
      </c>
      <c r="F8" s="397">
        <f>+A.social!D9+A.social!D88</f>
        <v>2076015.4200000002</v>
      </c>
      <c r="G8" s="397">
        <f>+'DESARROLLO SOC'!D48</f>
        <v>20000</v>
      </c>
      <c r="H8" s="397">
        <f>+Planif.!D9</f>
        <v>1019521.835</v>
      </c>
      <c r="I8" s="397">
        <f>+'OBRAS PÚBLICAS'!D9</f>
        <v>9257581.0250000004</v>
      </c>
      <c r="J8" s="397">
        <f>+'P.y Jard.'!D47</f>
        <v>185187.37</v>
      </c>
      <c r="K8" s="397"/>
      <c r="L8" s="397">
        <f>+Cementerio!D59</f>
        <v>24300</v>
      </c>
      <c r="M8" s="397">
        <f>+Camal!D60</f>
        <v>0</v>
      </c>
      <c r="N8" s="397">
        <f>+SEMERTAZ!D57</f>
        <v>18440</v>
      </c>
      <c r="O8" s="397">
        <f>+CCBS!D66</f>
        <v>12700</v>
      </c>
      <c r="P8" s="397">
        <f>+Mercados!D59</f>
        <v>0</v>
      </c>
      <c r="Q8" s="397">
        <f>+barrido!D40+RECOLECCION!D43+disposicion!D20+educacion!D15</f>
        <v>830848.27</v>
      </c>
      <c r="R8" s="397">
        <f>+Terminal!D56</f>
        <v>7652.28</v>
      </c>
      <c r="S8" s="397">
        <f>+Movilidad!D11</f>
        <v>921573.54999999993</v>
      </c>
      <c r="T8" s="397">
        <f>+'Gestion Riegos'!D48</f>
        <v>93656</v>
      </c>
      <c r="U8" s="402"/>
      <c r="V8" s="407">
        <f t="shared" si="0"/>
        <v>15040304.399999999</v>
      </c>
      <c r="W8" s="406">
        <f>V8/V12</f>
        <v>0.55261753515874446</v>
      </c>
      <c r="Y8" s="36"/>
    </row>
    <row r="9" spans="1:256" s="5" customFormat="1" ht="24.95" customHeight="1" x14ac:dyDescent="0.2">
      <c r="A9" s="398" t="s">
        <v>812</v>
      </c>
      <c r="B9" s="399"/>
      <c r="C9" s="399"/>
      <c r="D9" s="399"/>
      <c r="E9" s="399"/>
      <c r="F9" s="399">
        <f>+A.social!D78</f>
        <v>50600</v>
      </c>
      <c r="G9" s="399"/>
      <c r="H9" s="399"/>
      <c r="I9" s="399"/>
      <c r="J9" s="397"/>
      <c r="K9" s="399"/>
      <c r="L9" s="399"/>
      <c r="M9" s="399"/>
      <c r="N9" s="399"/>
      <c r="O9" s="399"/>
      <c r="P9" s="399"/>
      <c r="Q9" s="399"/>
      <c r="R9" s="399"/>
      <c r="S9" s="399"/>
      <c r="T9" s="399"/>
      <c r="U9" s="408"/>
      <c r="V9" s="407">
        <f t="shared" si="0"/>
        <v>50600</v>
      </c>
      <c r="W9" s="406">
        <f>V9/V12</f>
        <v>1.8591676428458771E-3</v>
      </c>
    </row>
    <row r="10" spans="1:256" s="5" customFormat="1" ht="24.95" customHeight="1" x14ac:dyDescent="0.2">
      <c r="A10" s="398" t="s">
        <v>791</v>
      </c>
      <c r="B10" s="399"/>
      <c r="C10" s="399"/>
      <c r="D10" s="399"/>
      <c r="E10" s="399"/>
      <c r="F10" s="399"/>
      <c r="G10" s="399"/>
      <c r="H10" s="399"/>
      <c r="I10" s="399"/>
      <c r="J10" s="400"/>
      <c r="K10" s="399">
        <f>+G.comunes!D55</f>
        <v>956589.42</v>
      </c>
      <c r="L10" s="399"/>
      <c r="M10" s="399"/>
      <c r="N10" s="399"/>
      <c r="O10" s="399"/>
      <c r="P10" s="399"/>
      <c r="Q10" s="399"/>
      <c r="R10" s="399"/>
      <c r="S10" s="399"/>
      <c r="T10" s="399"/>
      <c r="U10" s="408"/>
      <c r="V10" s="407">
        <f t="shared" si="0"/>
        <v>956589.42</v>
      </c>
      <c r="W10" s="406">
        <f>V10/V12</f>
        <v>3.5147432750053456E-2</v>
      </c>
    </row>
    <row r="11" spans="1:256" s="5" customFormat="1" ht="24.95" customHeight="1" thickBot="1" x14ac:dyDescent="0.25">
      <c r="A11" s="401" t="s">
        <v>790</v>
      </c>
      <c r="B11" s="397"/>
      <c r="C11" s="397"/>
      <c r="D11" s="397"/>
      <c r="E11" s="397"/>
      <c r="F11" s="397"/>
      <c r="G11" s="397"/>
      <c r="H11" s="397"/>
      <c r="I11" s="397"/>
      <c r="J11" s="400"/>
      <c r="K11" s="397"/>
      <c r="L11" s="397"/>
      <c r="M11" s="397"/>
      <c r="N11" s="397"/>
      <c r="O11" s="397"/>
      <c r="P11" s="397"/>
      <c r="Q11" s="397">
        <f>+RECOLECCION!D59</f>
        <v>0</v>
      </c>
      <c r="R11" s="402"/>
      <c r="S11" s="397"/>
      <c r="T11" s="397"/>
      <c r="U11" s="402"/>
      <c r="V11" s="407">
        <f t="shared" si="0"/>
        <v>0</v>
      </c>
      <c r="W11" s="406">
        <f>V11/V12</f>
        <v>0</v>
      </c>
    </row>
    <row r="12" spans="1:256" s="5" customFormat="1" ht="12.75" thickBot="1" x14ac:dyDescent="0.25">
      <c r="A12" s="392" t="s">
        <v>789</v>
      </c>
      <c r="B12" s="501">
        <f t="shared" ref="B12:U12" si="1">SUM(B6:B11)</f>
        <v>4026645.6449999996</v>
      </c>
      <c r="C12" s="501">
        <f t="shared" si="1"/>
        <v>649926.5</v>
      </c>
      <c r="D12" s="501">
        <f t="shared" si="1"/>
        <v>172582.35</v>
      </c>
      <c r="E12" s="501">
        <f t="shared" si="1"/>
        <v>559828.65</v>
      </c>
      <c r="F12" s="501">
        <f t="shared" si="1"/>
        <v>2150795.42</v>
      </c>
      <c r="G12" s="501">
        <f t="shared" si="1"/>
        <v>315559.51</v>
      </c>
      <c r="H12" s="501">
        <f t="shared" si="1"/>
        <v>1092921.835</v>
      </c>
      <c r="I12" s="501">
        <f t="shared" si="1"/>
        <v>9923581.0250000004</v>
      </c>
      <c r="J12" s="501">
        <f t="shared" si="1"/>
        <v>442499.11</v>
      </c>
      <c r="K12" s="501">
        <f t="shared" si="1"/>
        <v>2956218.8</v>
      </c>
      <c r="L12" s="501">
        <f t="shared" si="1"/>
        <v>144675.88</v>
      </c>
      <c r="M12" s="501">
        <f t="shared" si="1"/>
        <v>177322.94500000001</v>
      </c>
      <c r="N12" s="501">
        <f t="shared" si="1"/>
        <v>567673.86</v>
      </c>
      <c r="O12" s="501">
        <f t="shared" si="1"/>
        <v>195961.03999999998</v>
      </c>
      <c r="P12" s="501">
        <f t="shared" si="1"/>
        <v>267614.84000000003</v>
      </c>
      <c r="Q12" s="501">
        <f t="shared" si="1"/>
        <v>2101865.21</v>
      </c>
      <c r="R12" s="501">
        <f t="shared" si="1"/>
        <v>150106.53</v>
      </c>
      <c r="S12" s="501">
        <f t="shared" si="1"/>
        <v>924573.54999999993</v>
      </c>
      <c r="T12" s="501">
        <f>SUM(T6:T11)</f>
        <v>142732.20500000002</v>
      </c>
      <c r="U12" s="536">
        <f t="shared" si="1"/>
        <v>253395.65000000002</v>
      </c>
      <c r="V12" s="409">
        <f>SUM(B12:U12)</f>
        <v>27216480.555</v>
      </c>
      <c r="W12" s="410">
        <f>SUM(W6:W11)</f>
        <v>0.99999999999999989</v>
      </c>
    </row>
    <row r="13" spans="1:256" s="500" customFormat="1" x14ac:dyDescent="0.2">
      <c r="A13" s="502"/>
      <c r="B13" s="502">
        <v>4026645.6349999998</v>
      </c>
      <c r="C13" s="502">
        <v>649926.5</v>
      </c>
      <c r="D13" s="502">
        <v>172582.35</v>
      </c>
      <c r="E13" s="502">
        <v>558328.65</v>
      </c>
      <c r="F13" s="502">
        <f>784301.15+1363494.27</f>
        <v>2147795.42</v>
      </c>
      <c r="G13" s="502">
        <v>315559.51</v>
      </c>
      <c r="H13" s="502">
        <v>1087921.835</v>
      </c>
      <c r="I13" s="502">
        <v>9986891.4450000003</v>
      </c>
      <c r="J13" s="502">
        <v>442499.11</v>
      </c>
      <c r="K13" s="502">
        <v>2956218.8</v>
      </c>
      <c r="L13" s="502">
        <v>144675.88</v>
      </c>
      <c r="M13" s="502">
        <v>177322.94500000001</v>
      </c>
      <c r="N13" s="502">
        <v>567673.86</v>
      </c>
      <c r="O13" s="502">
        <v>195961.03999999998</v>
      </c>
      <c r="P13" s="502">
        <v>267614.84000000003</v>
      </c>
      <c r="Q13" s="502">
        <f>+TOTAL!C41+TOTAL!C42+TOTAL!C43+TOTAL!C44+TOTAL!C45</f>
        <v>2101865.21</v>
      </c>
      <c r="R13" s="502">
        <v>150106.53</v>
      </c>
      <c r="S13" s="502">
        <v>924573.54999999993</v>
      </c>
      <c r="T13" s="502">
        <v>142732.20500000002</v>
      </c>
      <c r="U13" s="502">
        <v>253395.65000000002</v>
      </c>
      <c r="V13" s="502">
        <f>SUM(B13:U13)</f>
        <v>27270290.964999996</v>
      </c>
      <c r="W13" s="502"/>
    </row>
    <row r="14" spans="1:256" x14ac:dyDescent="0.2">
      <c r="A14" s="319"/>
      <c r="B14" s="319"/>
      <c r="C14" s="319"/>
      <c r="D14" s="319"/>
      <c r="E14" s="319"/>
      <c r="F14" s="319"/>
      <c r="G14" s="319"/>
      <c r="H14" s="319"/>
      <c r="I14" s="319"/>
      <c r="J14" s="319"/>
      <c r="K14" s="319"/>
      <c r="L14" s="319"/>
      <c r="M14" s="319"/>
      <c r="N14" s="319"/>
      <c r="O14" s="319"/>
      <c r="P14" s="319"/>
      <c r="Q14" s="319"/>
      <c r="R14" s="319"/>
      <c r="S14" s="320"/>
      <c r="T14" s="320"/>
      <c r="U14" s="13"/>
      <c r="V14" s="319"/>
    </row>
    <row r="15" spans="1:256" x14ac:dyDescent="0.2">
      <c r="B15" s="305"/>
      <c r="C15" s="305"/>
      <c r="D15" s="305"/>
      <c r="E15" s="413"/>
      <c r="F15" s="413"/>
      <c r="G15" s="305"/>
      <c r="H15" s="413"/>
      <c r="I15" s="413"/>
      <c r="J15" s="305"/>
      <c r="K15" s="305"/>
      <c r="L15" s="305"/>
      <c r="M15" s="305"/>
      <c r="N15" s="305"/>
      <c r="O15" s="305"/>
      <c r="P15" s="305"/>
      <c r="Q15" s="305">
        <f>Q13-Q12</f>
        <v>0</v>
      </c>
      <c r="R15" s="305"/>
      <c r="S15" s="36"/>
      <c r="T15" s="36"/>
      <c r="U15" s="37"/>
      <c r="V15" s="500">
        <f>V12-V13</f>
        <v>-53810.409999996424</v>
      </c>
    </row>
    <row r="16" spans="1:256" x14ac:dyDescent="0.2">
      <c r="B16" s="305"/>
      <c r="C16" s="305"/>
      <c r="D16" s="305"/>
      <c r="E16" s="305"/>
      <c r="F16" s="305"/>
      <c r="G16" s="305"/>
      <c r="H16" s="305"/>
      <c r="I16" s="305"/>
      <c r="J16" s="305"/>
      <c r="K16" s="305"/>
      <c r="L16" s="305"/>
      <c r="M16" s="305"/>
      <c r="N16" s="305"/>
      <c r="O16" s="305"/>
      <c r="P16" s="305"/>
      <c r="Q16" s="305"/>
      <c r="R16" s="305"/>
      <c r="S16" s="305"/>
      <c r="T16" s="305"/>
      <c r="U16" s="321"/>
      <c r="V16" s="305"/>
    </row>
    <row r="17" spans="17:22" x14ac:dyDescent="0.2">
      <c r="Q17" s="305"/>
      <c r="U17" s="307"/>
      <c r="V17" s="305">
        <f>G.comunes!D8+Camal!D9+Mercados!D8+Cementerio!D9+educacion!D9+disposicion!D9+RECOLECCION!D9+'ADMINISTRACION ASEO'!D8+barrido!D8+'P.y Jard.'!D7+'OBRAS PÚBLICAS'!D8+SEMERTAZ!D8+Movilidad!D10+Planif.!D8+'Gestion Riegos'!D8+'DESARROLLO SOC'!D8+A.social!D77+'Educ.Cult '!D8+'VIGILANCIA Y SEGURIDAD'!D8+Registro!D7+CCBS!D8+Terminal!D8+Financiera!D9+General!D8+A.social!D8</f>
        <v>27216480.554999996</v>
      </c>
    </row>
    <row r="18" spans="17:22" x14ac:dyDescent="0.2">
      <c r="Q18" s="305"/>
      <c r="S18" s="308"/>
      <c r="T18" s="308"/>
      <c r="U18" s="307"/>
      <c r="V18" s="305"/>
    </row>
    <row r="19" spans="17:22" x14ac:dyDescent="0.2">
      <c r="U19" s="306"/>
      <c r="V19" s="305">
        <f>V17-V12</f>
        <v>0</v>
      </c>
    </row>
    <row r="20" spans="17:22" x14ac:dyDescent="0.2">
      <c r="S20" s="305"/>
      <c r="T20" s="305"/>
      <c r="V20" s="305"/>
    </row>
  </sheetData>
  <mergeCells count="3">
    <mergeCell ref="A1:W1"/>
    <mergeCell ref="A2:W2"/>
    <mergeCell ref="A3:W3"/>
  </mergeCells>
  <pageMargins left="0.23622047244094491" right="0" top="1.5748031496062993" bottom="0.98425196850393704" header="0" footer="0"/>
  <pageSetup paperSize="9" scale="55" orientation="landscape" verticalDpi="1200" r:id="rId1"/>
  <headerFooter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9" sqref="H29"/>
    </sheetView>
  </sheetViews>
  <sheetFormatPr baseColWidth="10" defaultRowHeight="12.75" x14ac:dyDescent="0.2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G134"/>
  <sheetViews>
    <sheetView workbookViewId="0">
      <selection activeCell="G16" sqref="G16"/>
    </sheetView>
  </sheetViews>
  <sheetFormatPr baseColWidth="10" defaultRowHeight="12.75" x14ac:dyDescent="0.2"/>
  <cols>
    <col min="1" max="1" width="11.42578125" style="4"/>
    <col min="2" max="2" width="10.5703125" style="85" customWidth="1"/>
    <col min="3" max="3" width="46.42578125" style="25" customWidth="1"/>
    <col min="4" max="4" width="11.7109375" style="35" bestFit="1" customWidth="1"/>
    <col min="5" max="5" width="10.42578125" style="4" customWidth="1"/>
    <col min="6" max="8" width="11.42578125" style="4"/>
    <col min="9" max="9" width="12.85546875" style="4" bestFit="1" customWidth="1"/>
    <col min="10" max="16384" width="11.42578125" style="4"/>
  </cols>
  <sheetData>
    <row r="1" spans="2:7" ht="15" x14ac:dyDescent="0.2">
      <c r="B1" s="146"/>
      <c r="C1" s="148"/>
      <c r="D1" s="29"/>
      <c r="E1" s="322"/>
    </row>
    <row r="2" spans="2:7" ht="15" x14ac:dyDescent="0.25">
      <c r="B2" s="147"/>
      <c r="C2" s="570" t="s">
        <v>820</v>
      </c>
      <c r="D2" s="570"/>
      <c r="E2" s="29"/>
    </row>
    <row r="3" spans="2:7" ht="15" x14ac:dyDescent="0.25">
      <c r="B3" s="147"/>
      <c r="C3" s="323" t="s">
        <v>823</v>
      </c>
      <c r="D3" s="323"/>
      <c r="E3" s="29"/>
    </row>
    <row r="4" spans="2:7" ht="15" x14ac:dyDescent="0.25">
      <c r="B4" s="147"/>
      <c r="C4" s="323"/>
      <c r="D4" s="323"/>
      <c r="E4" s="29"/>
    </row>
    <row r="5" spans="2:7" ht="15" x14ac:dyDescent="0.25">
      <c r="B5" s="324"/>
      <c r="C5" s="326" t="s">
        <v>822</v>
      </c>
      <c r="D5" s="326"/>
      <c r="E5" s="325"/>
    </row>
    <row r="6" spans="2:7" x14ac:dyDescent="0.2">
      <c r="B6" s="54" t="s">
        <v>143</v>
      </c>
      <c r="C6" s="59" t="s">
        <v>48</v>
      </c>
      <c r="D6" s="41"/>
      <c r="E6" s="40">
        <f>SUM(D7)</f>
        <v>15000</v>
      </c>
    </row>
    <row r="7" spans="2:7" x14ac:dyDescent="0.2">
      <c r="B7" s="57" t="s">
        <v>182</v>
      </c>
      <c r="C7" s="60" t="s">
        <v>562</v>
      </c>
      <c r="D7" s="41">
        <v>15000</v>
      </c>
      <c r="E7" s="325"/>
    </row>
    <row r="8" spans="2:7" ht="15" x14ac:dyDescent="0.25">
      <c r="B8" s="324"/>
      <c r="C8" s="571" t="s">
        <v>821</v>
      </c>
      <c r="D8" s="571"/>
      <c r="E8" s="327"/>
    </row>
    <row r="9" spans="2:7" x14ac:dyDescent="0.2">
      <c r="B9" s="54" t="s">
        <v>698</v>
      </c>
      <c r="C9" s="56" t="s">
        <v>704</v>
      </c>
      <c r="D9" s="41"/>
      <c r="E9" s="40">
        <f>SUM(D10)</f>
        <v>60000</v>
      </c>
    </row>
    <row r="10" spans="2:7" x14ac:dyDescent="0.2">
      <c r="B10" s="57" t="s">
        <v>703</v>
      </c>
      <c r="C10" s="58" t="s">
        <v>775</v>
      </c>
      <c r="D10" s="41">
        <v>60000</v>
      </c>
      <c r="E10" s="325"/>
    </row>
    <row r="11" spans="2:7" s="17" customFormat="1" x14ac:dyDescent="0.2">
      <c r="B11" s="54">
        <v>7.8</v>
      </c>
      <c r="C11" s="56" t="s">
        <v>90</v>
      </c>
      <c r="D11" s="40"/>
      <c r="E11" s="328">
        <f>SUM(D14:D19)</f>
        <v>185000</v>
      </c>
    </row>
    <row r="12" spans="2:7" s="17" customFormat="1" x14ac:dyDescent="0.2">
      <c r="B12" s="54" t="s">
        <v>248</v>
      </c>
      <c r="C12" s="56" t="s">
        <v>92</v>
      </c>
      <c r="D12" s="40"/>
      <c r="E12" s="33"/>
    </row>
    <row r="13" spans="2:7" x14ac:dyDescent="0.2">
      <c r="B13" s="54" t="s">
        <v>249</v>
      </c>
      <c r="C13" s="56" t="s">
        <v>93</v>
      </c>
      <c r="D13" s="41"/>
      <c r="E13" s="40"/>
      <c r="F13" s="18"/>
      <c r="G13" s="18"/>
    </row>
    <row r="14" spans="2:7" ht="22.5" x14ac:dyDescent="0.2">
      <c r="B14" s="52" t="s">
        <v>288</v>
      </c>
      <c r="C14" s="60" t="s">
        <v>612</v>
      </c>
      <c r="D14" s="53">
        <v>72000</v>
      </c>
      <c r="E14" s="40"/>
    </row>
    <row r="15" spans="2:7" x14ac:dyDescent="0.2">
      <c r="B15" s="52" t="s">
        <v>336</v>
      </c>
      <c r="C15" s="62" t="s">
        <v>273</v>
      </c>
      <c r="D15" s="53">
        <v>50000</v>
      </c>
      <c r="E15" s="40"/>
    </row>
    <row r="16" spans="2:7" x14ac:dyDescent="0.2">
      <c r="B16" s="52" t="s">
        <v>337</v>
      </c>
      <c r="C16" s="62" t="s">
        <v>613</v>
      </c>
      <c r="D16" s="53">
        <v>50000</v>
      </c>
      <c r="E16" s="41"/>
    </row>
    <row r="17" spans="2:6" x14ac:dyDescent="0.2">
      <c r="B17" s="52" t="s">
        <v>614</v>
      </c>
      <c r="C17" s="62" t="s">
        <v>615</v>
      </c>
      <c r="D17" s="53">
        <v>2000</v>
      </c>
      <c r="E17" s="41"/>
    </row>
    <row r="18" spans="2:6" x14ac:dyDescent="0.2">
      <c r="B18" s="52" t="s">
        <v>617</v>
      </c>
      <c r="C18" s="62" t="s">
        <v>618</v>
      </c>
      <c r="D18" s="53">
        <v>8000</v>
      </c>
      <c r="E18" s="41"/>
      <c r="F18" s="212"/>
    </row>
    <row r="19" spans="2:6" x14ac:dyDescent="0.2">
      <c r="B19" s="52" t="s">
        <v>724</v>
      </c>
      <c r="C19" s="62" t="s">
        <v>732</v>
      </c>
      <c r="D19" s="53">
        <v>3000</v>
      </c>
      <c r="E19" s="44"/>
    </row>
    <row r="20" spans="2:6" ht="15" x14ac:dyDescent="0.25">
      <c r="B20" s="52"/>
      <c r="C20" s="571" t="s">
        <v>821</v>
      </c>
      <c r="D20" s="571"/>
      <c r="E20" s="44"/>
    </row>
    <row r="21" spans="2:6" ht="15" x14ac:dyDescent="0.25">
      <c r="B21" s="52"/>
      <c r="C21" s="326" t="s">
        <v>7</v>
      </c>
      <c r="D21" s="326"/>
      <c r="E21" s="44">
        <v>1095391.54</v>
      </c>
    </row>
    <row r="22" spans="2:6" x14ac:dyDescent="0.2">
      <c r="B22" s="52">
        <v>6</v>
      </c>
      <c r="C22" s="329" t="s">
        <v>657</v>
      </c>
      <c r="D22" s="47">
        <v>23100</v>
      </c>
      <c r="E22" s="44"/>
    </row>
    <row r="23" spans="2:6" x14ac:dyDescent="0.2">
      <c r="B23" s="52">
        <v>7.1</v>
      </c>
      <c r="C23" s="329" t="s">
        <v>9</v>
      </c>
      <c r="D23" s="47">
        <v>682175.53999999992</v>
      </c>
      <c r="E23" s="44"/>
    </row>
    <row r="24" spans="2:6" x14ac:dyDescent="0.2">
      <c r="B24" s="52">
        <v>7.3</v>
      </c>
      <c r="C24" s="329" t="s">
        <v>14</v>
      </c>
      <c r="D24" s="47">
        <v>366116</v>
      </c>
      <c r="E24" s="44"/>
    </row>
    <row r="25" spans="2:6" x14ac:dyDescent="0.2">
      <c r="B25" s="52" t="s">
        <v>651</v>
      </c>
      <c r="C25" s="329" t="s">
        <v>652</v>
      </c>
      <c r="D25" s="47">
        <v>500</v>
      </c>
      <c r="E25" s="44"/>
    </row>
    <row r="26" spans="2:6" x14ac:dyDescent="0.2">
      <c r="B26" s="52">
        <v>8</v>
      </c>
      <c r="C26" s="329" t="s">
        <v>74</v>
      </c>
      <c r="D26" s="47">
        <v>23500</v>
      </c>
      <c r="E26" s="44"/>
    </row>
    <row r="27" spans="2:6" ht="15" x14ac:dyDescent="0.25">
      <c r="B27" s="52"/>
      <c r="C27" s="326" t="s">
        <v>2</v>
      </c>
      <c r="D27" s="326"/>
      <c r="E27" s="44"/>
    </row>
    <row r="28" spans="2:6" x14ac:dyDescent="0.2">
      <c r="B28" s="54">
        <v>7</v>
      </c>
      <c r="C28" s="56" t="s">
        <v>86</v>
      </c>
      <c r="D28" s="116"/>
      <c r="E28" s="44">
        <f>SUM(D29:D31)</f>
        <v>34000</v>
      </c>
    </row>
    <row r="29" spans="2:6" ht="22.5" x14ac:dyDescent="0.2">
      <c r="B29" s="52" t="s">
        <v>144</v>
      </c>
      <c r="C29" s="62" t="s">
        <v>347</v>
      </c>
      <c r="D29" s="109">
        <v>5000</v>
      </c>
      <c r="E29" s="44"/>
    </row>
    <row r="30" spans="2:6" x14ac:dyDescent="0.2">
      <c r="B30" s="52" t="s">
        <v>182</v>
      </c>
      <c r="C30" s="62" t="s">
        <v>348</v>
      </c>
      <c r="D30" s="109">
        <f>33000-8000</f>
        <v>25000</v>
      </c>
      <c r="E30" s="44"/>
    </row>
    <row r="31" spans="2:6" x14ac:dyDescent="0.2">
      <c r="B31" s="52" t="s">
        <v>190</v>
      </c>
      <c r="C31" s="62" t="s">
        <v>477</v>
      </c>
      <c r="D31" s="109">
        <f>500+3500</f>
        <v>4000</v>
      </c>
      <c r="E31" s="44"/>
    </row>
    <row r="32" spans="2:6" x14ac:dyDescent="0.2">
      <c r="B32" s="52"/>
      <c r="C32" s="87" t="s">
        <v>7</v>
      </c>
      <c r="D32" s="53"/>
      <c r="E32" s="44">
        <f>SUM(E5:E31)</f>
        <v>1389391.54</v>
      </c>
    </row>
    <row r="33" spans="4:5" x14ac:dyDescent="0.2">
      <c r="D33" s="39"/>
      <c r="E33" s="18"/>
    </row>
    <row r="34" spans="4:5" x14ac:dyDescent="0.2">
      <c r="D34" s="39"/>
      <c r="E34" s="18"/>
    </row>
    <row r="35" spans="4:5" x14ac:dyDescent="0.2">
      <c r="D35" s="39"/>
      <c r="E35" s="18"/>
    </row>
    <row r="36" spans="4:5" x14ac:dyDescent="0.2">
      <c r="D36" s="39"/>
      <c r="E36" s="18"/>
    </row>
    <row r="37" spans="4:5" x14ac:dyDescent="0.2">
      <c r="D37" s="39"/>
      <c r="E37" s="18"/>
    </row>
    <row r="38" spans="4:5" x14ac:dyDescent="0.2">
      <c r="D38" s="39"/>
      <c r="E38" s="18"/>
    </row>
    <row r="39" spans="4:5" x14ac:dyDescent="0.2">
      <c r="D39" s="39"/>
      <c r="E39" s="18"/>
    </row>
    <row r="40" spans="4:5" x14ac:dyDescent="0.2">
      <c r="D40" s="39"/>
      <c r="E40" s="18"/>
    </row>
    <row r="41" spans="4:5" x14ac:dyDescent="0.2">
      <c r="D41" s="39"/>
      <c r="E41" s="18"/>
    </row>
    <row r="42" spans="4:5" x14ac:dyDescent="0.2">
      <c r="D42" s="39"/>
      <c r="E42" s="18"/>
    </row>
    <row r="43" spans="4:5" x14ac:dyDescent="0.2">
      <c r="D43" s="39"/>
      <c r="E43" s="18"/>
    </row>
    <row r="44" spans="4:5" x14ac:dyDescent="0.2">
      <c r="D44" s="39"/>
      <c r="E44" s="18"/>
    </row>
    <row r="45" spans="4:5" x14ac:dyDescent="0.2">
      <c r="D45" s="39"/>
      <c r="E45" s="18"/>
    </row>
    <row r="46" spans="4:5" x14ac:dyDescent="0.2">
      <c r="D46" s="39"/>
      <c r="E46" s="18"/>
    </row>
    <row r="47" spans="4:5" x14ac:dyDescent="0.2">
      <c r="D47" s="39"/>
      <c r="E47" s="18"/>
    </row>
    <row r="48" spans="4:5" x14ac:dyDescent="0.2">
      <c r="D48" s="39"/>
      <c r="E48" s="18"/>
    </row>
    <row r="49" spans="4:5" x14ac:dyDescent="0.2">
      <c r="D49" s="39"/>
      <c r="E49" s="18"/>
    </row>
    <row r="50" spans="4:5" x14ac:dyDescent="0.2">
      <c r="D50" s="39"/>
      <c r="E50" s="18"/>
    </row>
    <row r="51" spans="4:5" x14ac:dyDescent="0.2">
      <c r="D51" s="39"/>
      <c r="E51" s="18"/>
    </row>
    <row r="52" spans="4:5" x14ac:dyDescent="0.2">
      <c r="D52" s="39"/>
      <c r="E52" s="18"/>
    </row>
    <row r="53" spans="4:5" x14ac:dyDescent="0.2">
      <c r="D53" s="39"/>
      <c r="E53" s="18"/>
    </row>
    <row r="54" spans="4:5" x14ac:dyDescent="0.2">
      <c r="D54" s="39"/>
      <c r="E54" s="18"/>
    </row>
    <row r="55" spans="4:5" x14ac:dyDescent="0.2">
      <c r="D55" s="39"/>
      <c r="E55" s="18"/>
    </row>
    <row r="56" spans="4:5" x14ac:dyDescent="0.2">
      <c r="D56" s="39"/>
      <c r="E56" s="18"/>
    </row>
    <row r="57" spans="4:5" x14ac:dyDescent="0.2">
      <c r="D57" s="39"/>
      <c r="E57" s="18"/>
    </row>
    <row r="58" spans="4:5" x14ac:dyDescent="0.2">
      <c r="D58" s="39"/>
      <c r="E58" s="18"/>
    </row>
    <row r="59" spans="4:5" x14ac:dyDescent="0.2">
      <c r="D59" s="39"/>
      <c r="E59" s="18"/>
    </row>
    <row r="60" spans="4:5" x14ac:dyDescent="0.2">
      <c r="D60" s="39"/>
      <c r="E60" s="18"/>
    </row>
    <row r="61" spans="4:5" x14ac:dyDescent="0.2">
      <c r="D61" s="39"/>
      <c r="E61" s="18"/>
    </row>
    <row r="62" spans="4:5" x14ac:dyDescent="0.2">
      <c r="D62" s="39"/>
      <c r="E62" s="18"/>
    </row>
    <row r="63" spans="4:5" x14ac:dyDescent="0.2">
      <c r="D63" s="39"/>
      <c r="E63" s="18"/>
    </row>
    <row r="64" spans="4:5" x14ac:dyDescent="0.2">
      <c r="D64" s="39"/>
      <c r="E64" s="18"/>
    </row>
    <row r="65" spans="4:5" x14ac:dyDescent="0.2">
      <c r="D65" s="39"/>
      <c r="E65" s="18"/>
    </row>
    <row r="66" spans="4:5" x14ac:dyDescent="0.2">
      <c r="D66" s="39"/>
      <c r="E66" s="18"/>
    </row>
    <row r="67" spans="4:5" x14ac:dyDescent="0.2">
      <c r="D67" s="39"/>
      <c r="E67" s="18"/>
    </row>
    <row r="68" spans="4:5" x14ac:dyDescent="0.2">
      <c r="D68" s="39"/>
      <c r="E68" s="18"/>
    </row>
    <row r="69" spans="4:5" x14ac:dyDescent="0.2">
      <c r="D69" s="39"/>
      <c r="E69" s="18"/>
    </row>
    <row r="70" spans="4:5" x14ac:dyDescent="0.2">
      <c r="D70" s="39"/>
      <c r="E70" s="18"/>
    </row>
    <row r="71" spans="4:5" x14ac:dyDescent="0.2">
      <c r="D71" s="39"/>
      <c r="E71" s="18"/>
    </row>
    <row r="72" spans="4:5" x14ac:dyDescent="0.2">
      <c r="D72" s="39"/>
      <c r="E72" s="18"/>
    </row>
    <row r="73" spans="4:5" x14ac:dyDescent="0.2">
      <c r="D73" s="39"/>
      <c r="E73" s="18"/>
    </row>
    <row r="74" spans="4:5" x14ac:dyDescent="0.2">
      <c r="D74" s="39"/>
      <c r="E74" s="18"/>
    </row>
    <row r="75" spans="4:5" x14ac:dyDescent="0.2">
      <c r="D75" s="39"/>
      <c r="E75" s="18"/>
    </row>
    <row r="76" spans="4:5" x14ac:dyDescent="0.2">
      <c r="D76" s="39"/>
      <c r="E76" s="18"/>
    </row>
    <row r="77" spans="4:5" x14ac:dyDescent="0.2">
      <c r="D77" s="39"/>
      <c r="E77" s="18"/>
    </row>
    <row r="78" spans="4:5" x14ac:dyDescent="0.2">
      <c r="D78" s="39"/>
      <c r="E78" s="18"/>
    </row>
    <row r="79" spans="4:5" x14ac:dyDescent="0.2">
      <c r="D79" s="39"/>
      <c r="E79" s="18"/>
    </row>
    <row r="80" spans="4:5" x14ac:dyDescent="0.2">
      <c r="D80" s="39"/>
      <c r="E80" s="18"/>
    </row>
    <row r="81" spans="4:5" x14ac:dyDescent="0.2">
      <c r="D81" s="39"/>
      <c r="E81" s="18"/>
    </row>
    <row r="82" spans="4:5" x14ac:dyDescent="0.2">
      <c r="D82" s="39"/>
      <c r="E82" s="18"/>
    </row>
    <row r="83" spans="4:5" x14ac:dyDescent="0.2">
      <c r="D83" s="39"/>
      <c r="E83" s="18"/>
    </row>
    <row r="84" spans="4:5" x14ac:dyDescent="0.2">
      <c r="D84" s="39"/>
      <c r="E84" s="18"/>
    </row>
    <row r="85" spans="4:5" x14ac:dyDescent="0.2">
      <c r="D85" s="39"/>
      <c r="E85" s="18"/>
    </row>
    <row r="86" spans="4:5" x14ac:dyDescent="0.2">
      <c r="D86" s="39"/>
      <c r="E86" s="18"/>
    </row>
    <row r="87" spans="4:5" x14ac:dyDescent="0.2">
      <c r="D87" s="39"/>
      <c r="E87" s="18"/>
    </row>
    <row r="88" spans="4:5" x14ac:dyDescent="0.2">
      <c r="D88" s="39"/>
      <c r="E88" s="18"/>
    </row>
    <row r="89" spans="4:5" x14ac:dyDescent="0.2">
      <c r="D89" s="39"/>
      <c r="E89" s="18"/>
    </row>
    <row r="90" spans="4:5" x14ac:dyDescent="0.2">
      <c r="D90" s="39"/>
      <c r="E90" s="18"/>
    </row>
    <row r="91" spans="4:5" x14ac:dyDescent="0.2">
      <c r="D91" s="39"/>
      <c r="E91" s="18"/>
    </row>
    <row r="92" spans="4:5" x14ac:dyDescent="0.2">
      <c r="D92" s="39"/>
      <c r="E92" s="18"/>
    </row>
    <row r="93" spans="4:5" x14ac:dyDescent="0.2">
      <c r="D93" s="39"/>
      <c r="E93" s="18"/>
    </row>
    <row r="94" spans="4:5" x14ac:dyDescent="0.2">
      <c r="D94" s="39"/>
      <c r="E94" s="18"/>
    </row>
    <row r="95" spans="4:5" x14ac:dyDescent="0.2">
      <c r="D95" s="39"/>
      <c r="E95" s="18"/>
    </row>
    <row r="96" spans="4:5" x14ac:dyDescent="0.2">
      <c r="D96" s="39"/>
      <c r="E96" s="18"/>
    </row>
    <row r="97" spans="4:5" x14ac:dyDescent="0.2">
      <c r="D97" s="39"/>
      <c r="E97" s="18"/>
    </row>
    <row r="98" spans="4:5" x14ac:dyDescent="0.2">
      <c r="D98" s="39"/>
      <c r="E98" s="18"/>
    </row>
    <row r="99" spans="4:5" x14ac:dyDescent="0.2">
      <c r="D99" s="39"/>
      <c r="E99" s="18"/>
    </row>
    <row r="100" spans="4:5" x14ac:dyDescent="0.2">
      <c r="D100" s="39"/>
      <c r="E100" s="18"/>
    </row>
    <row r="101" spans="4:5" x14ac:dyDescent="0.2">
      <c r="D101" s="39"/>
      <c r="E101" s="18"/>
    </row>
    <row r="102" spans="4:5" x14ac:dyDescent="0.2">
      <c r="D102" s="39"/>
      <c r="E102" s="18"/>
    </row>
    <row r="103" spans="4:5" x14ac:dyDescent="0.2">
      <c r="D103" s="39"/>
      <c r="E103" s="18"/>
    </row>
    <row r="104" spans="4:5" x14ac:dyDescent="0.2">
      <c r="D104" s="39"/>
      <c r="E104" s="18"/>
    </row>
    <row r="105" spans="4:5" x14ac:dyDescent="0.2">
      <c r="D105" s="39"/>
      <c r="E105" s="18"/>
    </row>
    <row r="106" spans="4:5" x14ac:dyDescent="0.2">
      <c r="D106" s="39"/>
      <c r="E106" s="18"/>
    </row>
    <row r="107" spans="4:5" x14ac:dyDescent="0.2">
      <c r="D107" s="39"/>
      <c r="E107" s="18"/>
    </row>
    <row r="108" spans="4:5" x14ac:dyDescent="0.2">
      <c r="D108" s="39"/>
      <c r="E108" s="18"/>
    </row>
    <row r="109" spans="4:5" x14ac:dyDescent="0.2">
      <c r="D109" s="39"/>
      <c r="E109" s="18"/>
    </row>
    <row r="110" spans="4:5" x14ac:dyDescent="0.2">
      <c r="D110" s="39"/>
      <c r="E110" s="18"/>
    </row>
    <row r="111" spans="4:5" x14ac:dyDescent="0.2">
      <c r="D111" s="39"/>
      <c r="E111" s="18"/>
    </row>
    <row r="112" spans="4:5" x14ac:dyDescent="0.2">
      <c r="D112" s="39"/>
      <c r="E112" s="18"/>
    </row>
    <row r="113" spans="4:5" x14ac:dyDescent="0.2">
      <c r="D113" s="39"/>
      <c r="E113" s="18"/>
    </row>
    <row r="114" spans="4:5" x14ac:dyDescent="0.2">
      <c r="D114" s="39"/>
      <c r="E114" s="18"/>
    </row>
    <row r="115" spans="4:5" x14ac:dyDescent="0.2">
      <c r="D115" s="39"/>
      <c r="E115" s="18"/>
    </row>
    <row r="116" spans="4:5" x14ac:dyDescent="0.2">
      <c r="D116" s="39"/>
      <c r="E116" s="18"/>
    </row>
    <row r="117" spans="4:5" x14ac:dyDescent="0.2">
      <c r="D117" s="39"/>
      <c r="E117" s="18"/>
    </row>
    <row r="118" spans="4:5" x14ac:dyDescent="0.2">
      <c r="D118" s="39"/>
      <c r="E118" s="18"/>
    </row>
    <row r="119" spans="4:5" x14ac:dyDescent="0.2">
      <c r="D119" s="39"/>
      <c r="E119" s="18"/>
    </row>
    <row r="120" spans="4:5" x14ac:dyDescent="0.2">
      <c r="D120" s="39"/>
      <c r="E120" s="18"/>
    </row>
    <row r="121" spans="4:5" x14ac:dyDescent="0.2">
      <c r="D121" s="39"/>
      <c r="E121" s="18"/>
    </row>
    <row r="122" spans="4:5" x14ac:dyDescent="0.2">
      <c r="D122" s="39"/>
      <c r="E122" s="18"/>
    </row>
    <row r="123" spans="4:5" x14ac:dyDescent="0.2">
      <c r="D123" s="39"/>
      <c r="E123" s="18"/>
    </row>
    <row r="124" spans="4:5" x14ac:dyDescent="0.2">
      <c r="D124" s="39"/>
      <c r="E124" s="18"/>
    </row>
    <row r="125" spans="4:5" x14ac:dyDescent="0.2">
      <c r="D125" s="39"/>
      <c r="E125" s="18"/>
    </row>
    <row r="126" spans="4:5" x14ac:dyDescent="0.2">
      <c r="D126" s="39"/>
      <c r="E126" s="18"/>
    </row>
    <row r="127" spans="4:5" x14ac:dyDescent="0.2">
      <c r="D127" s="39"/>
      <c r="E127" s="18"/>
    </row>
    <row r="128" spans="4:5" x14ac:dyDescent="0.2">
      <c r="D128" s="39"/>
      <c r="E128" s="18"/>
    </row>
    <row r="129" spans="4:5" x14ac:dyDescent="0.2">
      <c r="D129" s="39"/>
      <c r="E129" s="18"/>
    </row>
    <row r="130" spans="4:5" x14ac:dyDescent="0.2">
      <c r="D130" s="39"/>
      <c r="E130" s="18"/>
    </row>
    <row r="131" spans="4:5" x14ac:dyDescent="0.2">
      <c r="D131" s="39"/>
      <c r="E131" s="18"/>
    </row>
    <row r="132" spans="4:5" x14ac:dyDescent="0.2">
      <c r="D132" s="39"/>
      <c r="E132" s="18"/>
    </row>
    <row r="133" spans="4:5" x14ac:dyDescent="0.2">
      <c r="D133" s="39"/>
      <c r="E133" s="18"/>
    </row>
    <row r="134" spans="4:5" x14ac:dyDescent="0.2">
      <c r="D134" s="39"/>
      <c r="E134" s="18"/>
    </row>
  </sheetData>
  <mergeCells count="3">
    <mergeCell ref="C2:D2"/>
    <mergeCell ref="C8:D8"/>
    <mergeCell ref="C20:D20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G236"/>
  <sheetViews>
    <sheetView showGridLines="0" workbookViewId="0">
      <selection activeCell="C13" sqref="C13"/>
    </sheetView>
  </sheetViews>
  <sheetFormatPr baseColWidth="10" defaultRowHeight="12.75" x14ac:dyDescent="0.2"/>
  <cols>
    <col min="1" max="1" width="7.7109375" style="85" bestFit="1" customWidth="1"/>
    <col min="2" max="2" width="45.7109375" style="4" customWidth="1"/>
    <col min="3" max="3" width="11.7109375" style="131" bestFit="1" customWidth="1"/>
    <col min="4" max="4" width="10" style="4" bestFit="1" customWidth="1"/>
    <col min="5" max="16384" width="11.42578125" style="4"/>
  </cols>
  <sheetData>
    <row r="1" spans="1:6" ht="18.75" x14ac:dyDescent="0.2">
      <c r="A1" s="540" t="s">
        <v>406</v>
      </c>
      <c r="B1" s="541"/>
      <c r="C1" s="541"/>
      <c r="D1" s="541"/>
    </row>
    <row r="2" spans="1:6" ht="15" x14ac:dyDescent="0.2">
      <c r="A2" s="542" t="s">
        <v>931</v>
      </c>
      <c r="B2" s="539"/>
      <c r="C2" s="539"/>
      <c r="D2" s="539"/>
    </row>
    <row r="3" spans="1:6" x14ac:dyDescent="0.2">
      <c r="A3" s="348"/>
      <c r="B3" s="349"/>
      <c r="C3" s="334"/>
      <c r="D3" s="334"/>
    </row>
    <row r="4" spans="1:6" x14ac:dyDescent="0.2">
      <c r="A4" s="333">
        <v>1</v>
      </c>
      <c r="B4" s="481" t="s">
        <v>4</v>
      </c>
      <c r="C4" s="334"/>
      <c r="D4" s="334"/>
    </row>
    <row r="5" spans="1:6" x14ac:dyDescent="0.2">
      <c r="A5" s="336">
        <v>1.2</v>
      </c>
      <c r="B5" s="345" t="s">
        <v>416</v>
      </c>
      <c r="C5" s="334"/>
      <c r="D5" s="334"/>
    </row>
    <row r="6" spans="1:6" x14ac:dyDescent="0.2">
      <c r="A6" s="336" t="s">
        <v>424</v>
      </c>
      <c r="B6" s="345" t="s">
        <v>416</v>
      </c>
      <c r="C6" s="340"/>
      <c r="D6" s="340"/>
    </row>
    <row r="7" spans="1:6" s="17" customFormat="1" x14ac:dyDescent="0.2">
      <c r="A7" s="21" t="s">
        <v>5</v>
      </c>
      <c r="B7" s="21" t="s">
        <v>6</v>
      </c>
      <c r="C7" s="33" t="s">
        <v>400</v>
      </c>
      <c r="D7" s="33" t="s">
        <v>7</v>
      </c>
      <c r="E7" s="472"/>
      <c r="F7" s="472"/>
    </row>
    <row r="8" spans="1:6" s="17" customFormat="1" x14ac:dyDescent="0.2">
      <c r="A8" s="19"/>
      <c r="B8" s="21"/>
      <c r="C8" s="33"/>
      <c r="D8" s="33"/>
    </row>
    <row r="9" spans="1:6" x14ac:dyDescent="0.2">
      <c r="A9" s="54"/>
      <c r="B9" s="55" t="s">
        <v>7</v>
      </c>
      <c r="C9" s="40">
        <f>SUM(C12:C59)</f>
        <v>649926.49999999988</v>
      </c>
      <c r="D9" s="40">
        <f>+D10+D55</f>
        <v>649926.5</v>
      </c>
      <c r="E9" s="18"/>
    </row>
    <row r="10" spans="1:6" x14ac:dyDescent="0.2">
      <c r="A10" s="54">
        <v>5</v>
      </c>
      <c r="B10" s="56" t="s">
        <v>8</v>
      </c>
      <c r="C10" s="40"/>
      <c r="D10" s="40">
        <f>D11+D35</f>
        <v>646926.5</v>
      </c>
    </row>
    <row r="11" spans="1:6" x14ac:dyDescent="0.2">
      <c r="A11" s="42">
        <v>5.0999999999999996</v>
      </c>
      <c r="B11" s="43" t="s">
        <v>9</v>
      </c>
      <c r="C11" s="41"/>
      <c r="D11" s="40">
        <f>D12+D16+D19+D22+D25+D30+D33</f>
        <v>622560.5</v>
      </c>
    </row>
    <row r="12" spans="1:6" x14ac:dyDescent="0.2">
      <c r="A12" s="42" t="s">
        <v>10</v>
      </c>
      <c r="B12" s="43" t="s">
        <v>11</v>
      </c>
      <c r="C12" s="40"/>
      <c r="D12" s="40">
        <f>SUM(C13:C15)</f>
        <v>479087.74</v>
      </c>
    </row>
    <row r="13" spans="1:6" x14ac:dyDescent="0.2">
      <c r="A13" s="45" t="s">
        <v>251</v>
      </c>
      <c r="B13" s="46" t="s">
        <v>762</v>
      </c>
      <c r="C13" s="41">
        <v>19990.86</v>
      </c>
      <c r="D13" s="41"/>
    </row>
    <row r="14" spans="1:6" x14ac:dyDescent="0.2">
      <c r="A14" s="45" t="s">
        <v>183</v>
      </c>
      <c r="B14" s="46" t="s">
        <v>832</v>
      </c>
      <c r="C14" s="41">
        <v>441912</v>
      </c>
      <c r="D14" s="41"/>
      <c r="E14" s="18"/>
    </row>
    <row r="15" spans="1:6" x14ac:dyDescent="0.2">
      <c r="A15" s="45" t="s">
        <v>760</v>
      </c>
      <c r="B15" s="46" t="s">
        <v>831</v>
      </c>
      <c r="C15" s="41">
        <v>17184.88</v>
      </c>
      <c r="D15" s="41"/>
      <c r="E15" s="18"/>
    </row>
    <row r="16" spans="1:6" x14ac:dyDescent="0.2">
      <c r="A16" s="42" t="s">
        <v>252</v>
      </c>
      <c r="B16" s="43" t="s">
        <v>253</v>
      </c>
      <c r="C16" s="41"/>
      <c r="D16" s="40">
        <f>SUM(C17:C18)</f>
        <v>49530.87</v>
      </c>
    </row>
    <row r="17" spans="1:7" x14ac:dyDescent="0.2">
      <c r="A17" s="45" t="s">
        <v>254</v>
      </c>
      <c r="B17" s="46" t="s">
        <v>255</v>
      </c>
      <c r="C17" s="47">
        <f>36826+1432.07</f>
        <v>38258.07</v>
      </c>
      <c r="D17" s="44"/>
    </row>
    <row r="18" spans="1:7" x14ac:dyDescent="0.2">
      <c r="A18" s="45" t="s">
        <v>256</v>
      </c>
      <c r="B18" s="46" t="s">
        <v>257</v>
      </c>
      <c r="C18" s="47">
        <f>10467.6+805.2</f>
        <v>11272.800000000001</v>
      </c>
      <c r="D18" s="47"/>
      <c r="G18" s="86"/>
    </row>
    <row r="19" spans="1:7" x14ac:dyDescent="0.2">
      <c r="A19" s="54" t="s">
        <v>349</v>
      </c>
      <c r="B19" s="56" t="s">
        <v>350</v>
      </c>
      <c r="C19" s="47"/>
      <c r="D19" s="44">
        <f>SUM(C20:C21)</f>
        <v>1680</v>
      </c>
      <c r="G19" s="86"/>
    </row>
    <row r="20" spans="1:7" x14ac:dyDescent="0.2">
      <c r="A20" s="57" t="s">
        <v>508</v>
      </c>
      <c r="B20" s="58" t="s">
        <v>509</v>
      </c>
      <c r="C20" s="47">
        <v>240</v>
      </c>
      <c r="D20" s="44"/>
      <c r="G20" s="86"/>
    </row>
    <row r="21" spans="1:7" x14ac:dyDescent="0.2">
      <c r="A21" s="57" t="s">
        <v>351</v>
      </c>
      <c r="B21" s="58" t="s">
        <v>830</v>
      </c>
      <c r="C21" s="47">
        <v>1440</v>
      </c>
      <c r="D21" s="47"/>
      <c r="G21" s="86"/>
    </row>
    <row r="22" spans="1:7" x14ac:dyDescent="0.2">
      <c r="A22" s="42" t="s">
        <v>184</v>
      </c>
      <c r="B22" s="59" t="s">
        <v>185</v>
      </c>
      <c r="C22" s="47"/>
      <c r="D22" s="44">
        <f>SUM(C23:C24)</f>
        <v>433.11</v>
      </c>
    </row>
    <row r="23" spans="1:7" x14ac:dyDescent="0.2">
      <c r="A23" s="45" t="s">
        <v>277</v>
      </c>
      <c r="B23" s="60" t="s">
        <v>719</v>
      </c>
      <c r="C23" s="47">
        <v>96.62</v>
      </c>
      <c r="D23" s="47"/>
    </row>
    <row r="24" spans="1:7" x14ac:dyDescent="0.2">
      <c r="A24" s="45" t="s">
        <v>479</v>
      </c>
      <c r="B24" s="46" t="s">
        <v>480</v>
      </c>
      <c r="C24" s="41">
        <v>336.49</v>
      </c>
      <c r="D24" s="40"/>
    </row>
    <row r="25" spans="1:7" x14ac:dyDescent="0.2">
      <c r="A25" s="42" t="s">
        <v>187</v>
      </c>
      <c r="B25" s="43" t="s">
        <v>186</v>
      </c>
      <c r="C25" s="229"/>
      <c r="D25" s="40">
        <f>SUM(C26:C29)</f>
        <v>0</v>
      </c>
    </row>
    <row r="26" spans="1:7" x14ac:dyDescent="0.2">
      <c r="A26" s="42" t="s">
        <v>766</v>
      </c>
      <c r="B26" s="43" t="s">
        <v>829</v>
      </c>
      <c r="C26" s="47"/>
      <c r="D26" s="44"/>
    </row>
    <row r="27" spans="1:7" x14ac:dyDescent="0.2">
      <c r="A27" s="45" t="s">
        <v>258</v>
      </c>
      <c r="B27" s="46" t="s">
        <v>259</v>
      </c>
      <c r="C27" s="48"/>
      <c r="D27" s="49"/>
    </row>
    <row r="28" spans="1:7" x14ac:dyDescent="0.2">
      <c r="A28" s="45" t="s">
        <v>769</v>
      </c>
      <c r="B28" s="46" t="s">
        <v>676</v>
      </c>
      <c r="C28" s="48"/>
      <c r="D28" s="49"/>
    </row>
    <row r="29" spans="1:7" x14ac:dyDescent="0.2">
      <c r="A29" s="45" t="s">
        <v>542</v>
      </c>
      <c r="B29" s="46" t="s">
        <v>543</v>
      </c>
      <c r="C29" s="48"/>
      <c r="D29" s="49"/>
    </row>
    <row r="30" spans="1:7" x14ac:dyDescent="0.2">
      <c r="A30" s="42" t="s">
        <v>12</v>
      </c>
      <c r="B30" s="43" t="s">
        <v>13</v>
      </c>
      <c r="C30" s="48"/>
      <c r="D30" s="216">
        <f>SUM(C31:C32)</f>
        <v>91828.78</v>
      </c>
    </row>
    <row r="31" spans="1:7" x14ac:dyDescent="0.2">
      <c r="A31" s="45" t="s">
        <v>260</v>
      </c>
      <c r="B31" s="46" t="s">
        <v>261</v>
      </c>
      <c r="C31" s="48">
        <f>51482.75+2087.96</f>
        <v>53570.71</v>
      </c>
      <c r="D31" s="49"/>
    </row>
    <row r="32" spans="1:7" x14ac:dyDescent="0.2">
      <c r="A32" s="45" t="s">
        <v>510</v>
      </c>
      <c r="B32" s="46" t="s">
        <v>700</v>
      </c>
      <c r="C32" s="48">
        <f>36826+1432.07</f>
        <v>38258.07</v>
      </c>
      <c r="D32" s="49"/>
    </row>
    <row r="33" spans="1:5" x14ac:dyDescent="0.2">
      <c r="A33" s="42" t="s">
        <v>302</v>
      </c>
      <c r="B33" s="43" t="s">
        <v>303</v>
      </c>
      <c r="C33" s="48"/>
      <c r="D33" s="216">
        <f>SUM(C34)</f>
        <v>0</v>
      </c>
    </row>
    <row r="34" spans="1:5" x14ac:dyDescent="0.2">
      <c r="A34" s="45" t="s">
        <v>768</v>
      </c>
      <c r="B34" s="46" t="s">
        <v>776</v>
      </c>
      <c r="C34" s="48"/>
      <c r="D34" s="49"/>
    </row>
    <row r="35" spans="1:5" x14ac:dyDescent="0.2">
      <c r="A35" s="54">
        <v>5.3</v>
      </c>
      <c r="B35" s="56" t="s">
        <v>14</v>
      </c>
      <c r="C35" s="40"/>
      <c r="D35" s="40">
        <f>+D36+D38+D41+D44+D48+D50+D53</f>
        <v>24366</v>
      </c>
    </row>
    <row r="36" spans="1:5" x14ac:dyDescent="0.2">
      <c r="A36" s="54" t="s">
        <v>15</v>
      </c>
      <c r="B36" s="56" t="s">
        <v>16</v>
      </c>
      <c r="C36" s="40"/>
      <c r="D36" s="40">
        <f>SUM(C37:C37)</f>
        <v>2000</v>
      </c>
    </row>
    <row r="37" spans="1:5" x14ac:dyDescent="0.2">
      <c r="A37" s="57" t="s">
        <v>19</v>
      </c>
      <c r="B37" s="58" t="s">
        <v>20</v>
      </c>
      <c r="C37" s="41">
        <v>2000</v>
      </c>
      <c r="D37" s="40"/>
    </row>
    <row r="38" spans="1:5" x14ac:dyDescent="0.2">
      <c r="A38" s="54" t="s">
        <v>23</v>
      </c>
      <c r="B38" s="56" t="s">
        <v>4</v>
      </c>
      <c r="C38" s="40"/>
      <c r="D38" s="40">
        <f>SUM(C39:C40)</f>
        <v>12100</v>
      </c>
    </row>
    <row r="39" spans="1:5" x14ac:dyDescent="0.2">
      <c r="A39" s="57" t="s">
        <v>26</v>
      </c>
      <c r="B39" s="58" t="s">
        <v>711</v>
      </c>
      <c r="C39" s="41">
        <f>4500+4600+2000</f>
        <v>11100</v>
      </c>
      <c r="D39" s="41"/>
      <c r="E39" s="212"/>
    </row>
    <row r="40" spans="1:5" x14ac:dyDescent="0.2">
      <c r="A40" s="57" t="s">
        <v>31</v>
      </c>
      <c r="B40" s="58" t="s">
        <v>171</v>
      </c>
      <c r="C40" s="41">
        <v>1000</v>
      </c>
      <c r="D40" s="41"/>
    </row>
    <row r="41" spans="1:5" x14ac:dyDescent="0.2">
      <c r="A41" s="54" t="s">
        <v>33</v>
      </c>
      <c r="B41" s="56" t="s">
        <v>34</v>
      </c>
      <c r="C41" s="40"/>
      <c r="D41" s="40">
        <f>+C42+C43</f>
        <v>2000</v>
      </c>
    </row>
    <row r="42" spans="1:5" x14ac:dyDescent="0.2">
      <c r="A42" s="57" t="s">
        <v>35</v>
      </c>
      <c r="B42" s="58" t="s">
        <v>36</v>
      </c>
      <c r="C42" s="41">
        <v>1000</v>
      </c>
      <c r="D42" s="41"/>
    </row>
    <row r="43" spans="1:5" x14ac:dyDescent="0.2">
      <c r="A43" s="57" t="s">
        <v>37</v>
      </c>
      <c r="B43" s="58" t="s">
        <v>38</v>
      </c>
      <c r="C43" s="41">
        <v>1000</v>
      </c>
      <c r="D43" s="41"/>
    </row>
    <row r="44" spans="1:5" x14ac:dyDescent="0.2">
      <c r="A44" s="54" t="s">
        <v>39</v>
      </c>
      <c r="B44" s="56" t="s">
        <v>40</v>
      </c>
      <c r="C44" s="40"/>
      <c r="D44" s="40">
        <f>SUM(C45:C47)</f>
        <v>1500</v>
      </c>
    </row>
    <row r="45" spans="1:5" x14ac:dyDescent="0.2">
      <c r="A45" s="57" t="s">
        <v>200</v>
      </c>
      <c r="B45" s="58" t="s">
        <v>722</v>
      </c>
      <c r="C45" s="41">
        <v>500</v>
      </c>
      <c r="D45" s="40"/>
    </row>
    <row r="46" spans="1:5" x14ac:dyDescent="0.2">
      <c r="A46" s="57" t="s">
        <v>41</v>
      </c>
      <c r="B46" s="58" t="s">
        <v>721</v>
      </c>
      <c r="C46" s="41">
        <v>500</v>
      </c>
      <c r="D46" s="40"/>
    </row>
    <row r="47" spans="1:5" x14ac:dyDescent="0.2">
      <c r="A47" s="57" t="s">
        <v>43</v>
      </c>
      <c r="B47" s="58" t="s">
        <v>723</v>
      </c>
      <c r="C47" s="41">
        <v>500</v>
      </c>
      <c r="D47" s="41"/>
    </row>
    <row r="48" spans="1:5" ht="24" x14ac:dyDescent="0.2">
      <c r="A48" s="42" t="s">
        <v>46</v>
      </c>
      <c r="B48" s="156" t="s">
        <v>467</v>
      </c>
      <c r="C48" s="47"/>
      <c r="D48" s="44">
        <f>+C49</f>
        <v>0</v>
      </c>
    </row>
    <row r="49" spans="1:4" x14ac:dyDescent="0.2">
      <c r="A49" s="45" t="s">
        <v>49</v>
      </c>
      <c r="B49" s="46" t="s">
        <v>466</v>
      </c>
      <c r="C49" s="47"/>
      <c r="D49" s="47"/>
    </row>
    <row r="50" spans="1:4" x14ac:dyDescent="0.2">
      <c r="A50" s="54" t="s">
        <v>55</v>
      </c>
      <c r="B50" s="56" t="s">
        <v>56</v>
      </c>
      <c r="C50" s="40"/>
      <c r="D50" s="40">
        <f>+C51+C52</f>
        <v>6266</v>
      </c>
    </row>
    <row r="51" spans="1:4" x14ac:dyDescent="0.2">
      <c r="A51" s="57" t="s">
        <v>59</v>
      </c>
      <c r="B51" s="58" t="s">
        <v>60</v>
      </c>
      <c r="C51" s="220">
        <f>5928+338</f>
        <v>6266</v>
      </c>
      <c r="D51" s="154"/>
    </row>
    <row r="52" spans="1:4" x14ac:dyDescent="0.2">
      <c r="A52" s="57" t="s">
        <v>493</v>
      </c>
      <c r="B52" s="58" t="s">
        <v>179</v>
      </c>
      <c r="C52" s="41"/>
      <c r="D52" s="41"/>
    </row>
    <row r="53" spans="1:4" x14ac:dyDescent="0.2">
      <c r="A53" s="54" t="s">
        <v>575</v>
      </c>
      <c r="B53" s="56" t="s">
        <v>734</v>
      </c>
      <c r="C53" s="41"/>
      <c r="D53" s="40">
        <f>SUM(C54)</f>
        <v>500</v>
      </c>
    </row>
    <row r="54" spans="1:4" x14ac:dyDescent="0.2">
      <c r="A54" s="57" t="s">
        <v>712</v>
      </c>
      <c r="B54" s="58" t="s">
        <v>690</v>
      </c>
      <c r="C54" s="41">
        <v>500</v>
      </c>
      <c r="D54" s="41"/>
    </row>
    <row r="55" spans="1:4" x14ac:dyDescent="0.2">
      <c r="A55" s="54">
        <v>8</v>
      </c>
      <c r="B55" s="56" t="s">
        <v>74</v>
      </c>
      <c r="C55" s="40"/>
      <c r="D55" s="40">
        <f>+D56</f>
        <v>3000</v>
      </c>
    </row>
    <row r="56" spans="1:4" x14ac:dyDescent="0.2">
      <c r="A56" s="54">
        <v>8.4</v>
      </c>
      <c r="B56" s="56" t="s">
        <v>75</v>
      </c>
      <c r="C56" s="40"/>
      <c r="D56" s="40">
        <f>+D57</f>
        <v>3000</v>
      </c>
    </row>
    <row r="57" spans="1:4" x14ac:dyDescent="0.2">
      <c r="A57" s="54" t="s">
        <v>76</v>
      </c>
      <c r="B57" s="56" t="s">
        <v>77</v>
      </c>
      <c r="C57" s="40"/>
      <c r="D57" s="40">
        <f>SUM(C58:C59)</f>
        <v>3000</v>
      </c>
    </row>
    <row r="58" spans="1:4" x14ac:dyDescent="0.2">
      <c r="A58" s="57" t="s">
        <v>301</v>
      </c>
      <c r="B58" s="58" t="s">
        <v>42</v>
      </c>
      <c r="C58" s="41"/>
      <c r="D58" s="40"/>
    </row>
    <row r="59" spans="1:4" x14ac:dyDescent="0.2">
      <c r="A59" s="57" t="s">
        <v>276</v>
      </c>
      <c r="B59" s="58" t="s">
        <v>495</v>
      </c>
      <c r="C59" s="41">
        <v>3000</v>
      </c>
      <c r="D59" s="40"/>
    </row>
    <row r="60" spans="1:4" x14ac:dyDescent="0.2">
      <c r="C60" s="137"/>
      <c r="D60" s="18"/>
    </row>
    <row r="61" spans="1:4" x14ac:dyDescent="0.2">
      <c r="C61" s="137"/>
      <c r="D61" s="18"/>
    </row>
    <row r="62" spans="1:4" x14ac:dyDescent="0.2">
      <c r="C62" s="137">
        <f>SUM(C10:C59)</f>
        <v>649926.49999999988</v>
      </c>
      <c r="D62" s="18"/>
    </row>
    <row r="63" spans="1:4" x14ac:dyDescent="0.2">
      <c r="C63" s="137"/>
      <c r="D63" s="18"/>
    </row>
    <row r="64" spans="1:4" x14ac:dyDescent="0.2">
      <c r="C64" s="137"/>
      <c r="D64" s="18"/>
    </row>
    <row r="65" spans="3:4" x14ac:dyDescent="0.2">
      <c r="C65" s="137"/>
      <c r="D65" s="18"/>
    </row>
    <row r="66" spans="3:4" x14ac:dyDescent="0.2">
      <c r="C66" s="137"/>
      <c r="D66" s="18"/>
    </row>
    <row r="67" spans="3:4" x14ac:dyDescent="0.2">
      <c r="C67" s="137"/>
      <c r="D67" s="18"/>
    </row>
    <row r="68" spans="3:4" x14ac:dyDescent="0.2">
      <c r="C68" s="137"/>
      <c r="D68" s="18"/>
    </row>
    <row r="69" spans="3:4" x14ac:dyDescent="0.2">
      <c r="C69" s="137"/>
      <c r="D69" s="18"/>
    </row>
    <row r="70" spans="3:4" x14ac:dyDescent="0.2">
      <c r="C70" s="137"/>
      <c r="D70" s="18"/>
    </row>
    <row r="71" spans="3:4" x14ac:dyDescent="0.2">
      <c r="C71" s="137"/>
      <c r="D71" s="18"/>
    </row>
    <row r="72" spans="3:4" x14ac:dyDescent="0.2">
      <c r="C72" s="137"/>
      <c r="D72" s="18"/>
    </row>
    <row r="73" spans="3:4" x14ac:dyDescent="0.2">
      <c r="C73" s="137"/>
      <c r="D73" s="18"/>
    </row>
    <row r="74" spans="3:4" x14ac:dyDescent="0.2">
      <c r="C74" s="137"/>
      <c r="D74" s="18"/>
    </row>
    <row r="75" spans="3:4" x14ac:dyDescent="0.2">
      <c r="C75" s="137"/>
      <c r="D75" s="18"/>
    </row>
    <row r="76" spans="3:4" x14ac:dyDescent="0.2">
      <c r="C76" s="137"/>
      <c r="D76" s="18"/>
    </row>
    <row r="77" spans="3:4" x14ac:dyDescent="0.2">
      <c r="C77" s="137"/>
      <c r="D77" s="18"/>
    </row>
    <row r="78" spans="3:4" x14ac:dyDescent="0.2">
      <c r="C78" s="137"/>
      <c r="D78" s="18"/>
    </row>
    <row r="79" spans="3:4" x14ac:dyDescent="0.2">
      <c r="C79" s="137"/>
      <c r="D79" s="18"/>
    </row>
    <row r="80" spans="3:4" x14ac:dyDescent="0.2">
      <c r="C80" s="137"/>
      <c r="D80" s="18"/>
    </row>
    <row r="81" spans="3:4" x14ac:dyDescent="0.2">
      <c r="C81" s="137"/>
      <c r="D81" s="18"/>
    </row>
    <row r="82" spans="3:4" x14ac:dyDescent="0.2">
      <c r="C82" s="137"/>
      <c r="D82" s="18"/>
    </row>
    <row r="83" spans="3:4" x14ac:dyDescent="0.2">
      <c r="C83" s="137"/>
      <c r="D83" s="18"/>
    </row>
    <row r="84" spans="3:4" x14ac:dyDescent="0.2">
      <c r="C84" s="137"/>
      <c r="D84" s="18"/>
    </row>
    <row r="85" spans="3:4" x14ac:dyDescent="0.2">
      <c r="C85" s="137"/>
      <c r="D85" s="18"/>
    </row>
    <row r="86" spans="3:4" x14ac:dyDescent="0.2">
      <c r="C86" s="137"/>
      <c r="D86" s="18"/>
    </row>
    <row r="87" spans="3:4" x14ac:dyDescent="0.2">
      <c r="C87" s="137"/>
      <c r="D87" s="18"/>
    </row>
    <row r="88" spans="3:4" x14ac:dyDescent="0.2">
      <c r="C88" s="137"/>
      <c r="D88" s="18"/>
    </row>
    <row r="89" spans="3:4" x14ac:dyDescent="0.2">
      <c r="C89" s="137"/>
      <c r="D89" s="18"/>
    </row>
    <row r="90" spans="3:4" x14ac:dyDescent="0.2">
      <c r="C90" s="137"/>
      <c r="D90" s="18"/>
    </row>
    <row r="91" spans="3:4" x14ac:dyDescent="0.2">
      <c r="C91" s="137"/>
      <c r="D91" s="18"/>
    </row>
    <row r="92" spans="3:4" x14ac:dyDescent="0.2">
      <c r="C92" s="137"/>
      <c r="D92" s="18"/>
    </row>
    <row r="93" spans="3:4" x14ac:dyDescent="0.2">
      <c r="C93" s="137"/>
      <c r="D93" s="18"/>
    </row>
    <row r="94" spans="3:4" x14ac:dyDescent="0.2">
      <c r="C94" s="137"/>
      <c r="D94" s="18"/>
    </row>
    <row r="95" spans="3:4" x14ac:dyDescent="0.2">
      <c r="C95" s="137"/>
      <c r="D95" s="18"/>
    </row>
    <row r="96" spans="3:4" x14ac:dyDescent="0.2">
      <c r="C96" s="137"/>
      <c r="D96" s="18"/>
    </row>
    <row r="97" spans="3:4" x14ac:dyDescent="0.2">
      <c r="C97" s="137"/>
      <c r="D97" s="18"/>
    </row>
    <row r="98" spans="3:4" x14ac:dyDescent="0.2">
      <c r="C98" s="137"/>
      <c r="D98" s="18"/>
    </row>
    <row r="99" spans="3:4" x14ac:dyDescent="0.2">
      <c r="C99" s="137"/>
      <c r="D99" s="18"/>
    </row>
    <row r="100" spans="3:4" x14ac:dyDescent="0.2">
      <c r="C100" s="137"/>
      <c r="D100" s="18"/>
    </row>
    <row r="101" spans="3:4" x14ac:dyDescent="0.2">
      <c r="C101" s="137"/>
      <c r="D101" s="18"/>
    </row>
    <row r="102" spans="3:4" x14ac:dyDescent="0.2">
      <c r="C102" s="137"/>
      <c r="D102" s="18"/>
    </row>
    <row r="103" spans="3:4" x14ac:dyDescent="0.2">
      <c r="C103" s="137"/>
      <c r="D103" s="18"/>
    </row>
    <row r="104" spans="3:4" x14ac:dyDescent="0.2">
      <c r="C104" s="137"/>
      <c r="D104" s="18"/>
    </row>
    <row r="105" spans="3:4" x14ac:dyDescent="0.2">
      <c r="C105" s="137"/>
      <c r="D105" s="18"/>
    </row>
    <row r="106" spans="3:4" x14ac:dyDescent="0.2">
      <c r="C106" s="137"/>
      <c r="D106" s="18"/>
    </row>
    <row r="107" spans="3:4" x14ac:dyDescent="0.2">
      <c r="C107" s="137"/>
      <c r="D107" s="18"/>
    </row>
    <row r="108" spans="3:4" x14ac:dyDescent="0.2">
      <c r="C108" s="137"/>
      <c r="D108" s="18"/>
    </row>
    <row r="109" spans="3:4" x14ac:dyDescent="0.2">
      <c r="C109" s="137"/>
      <c r="D109" s="18"/>
    </row>
    <row r="110" spans="3:4" x14ac:dyDescent="0.2">
      <c r="C110" s="137"/>
      <c r="D110" s="18"/>
    </row>
    <row r="111" spans="3:4" x14ac:dyDescent="0.2">
      <c r="C111" s="137"/>
      <c r="D111" s="18"/>
    </row>
    <row r="112" spans="3:4" x14ac:dyDescent="0.2">
      <c r="C112" s="137"/>
      <c r="D112" s="18"/>
    </row>
    <row r="113" spans="3:4" x14ac:dyDescent="0.2">
      <c r="C113" s="137"/>
      <c r="D113" s="18"/>
    </row>
    <row r="114" spans="3:4" x14ac:dyDescent="0.2">
      <c r="C114" s="137"/>
      <c r="D114" s="18"/>
    </row>
    <row r="115" spans="3:4" x14ac:dyDescent="0.2">
      <c r="C115" s="137"/>
      <c r="D115" s="18"/>
    </row>
    <row r="116" spans="3:4" x14ac:dyDescent="0.2">
      <c r="C116" s="137"/>
      <c r="D116" s="18"/>
    </row>
    <row r="117" spans="3:4" x14ac:dyDescent="0.2">
      <c r="C117" s="137"/>
      <c r="D117" s="18"/>
    </row>
    <row r="118" spans="3:4" x14ac:dyDescent="0.2">
      <c r="C118" s="137"/>
      <c r="D118" s="18"/>
    </row>
    <row r="119" spans="3:4" x14ac:dyDescent="0.2">
      <c r="C119" s="137"/>
      <c r="D119" s="18"/>
    </row>
    <row r="120" spans="3:4" x14ac:dyDescent="0.2">
      <c r="C120" s="137"/>
      <c r="D120" s="18"/>
    </row>
    <row r="121" spans="3:4" x14ac:dyDescent="0.2">
      <c r="C121" s="137"/>
      <c r="D121" s="18"/>
    </row>
    <row r="122" spans="3:4" x14ac:dyDescent="0.2">
      <c r="C122" s="137"/>
      <c r="D122" s="18"/>
    </row>
    <row r="123" spans="3:4" x14ac:dyDescent="0.2">
      <c r="C123" s="137"/>
      <c r="D123" s="18"/>
    </row>
    <row r="124" spans="3:4" x14ac:dyDescent="0.2">
      <c r="C124" s="137"/>
      <c r="D124" s="18"/>
    </row>
    <row r="125" spans="3:4" x14ac:dyDescent="0.2">
      <c r="C125" s="137"/>
      <c r="D125" s="18"/>
    </row>
    <row r="126" spans="3:4" x14ac:dyDescent="0.2">
      <c r="C126" s="137"/>
      <c r="D126" s="18"/>
    </row>
    <row r="127" spans="3:4" x14ac:dyDescent="0.2">
      <c r="C127" s="137"/>
      <c r="D127" s="18"/>
    </row>
    <row r="128" spans="3:4" x14ac:dyDescent="0.2">
      <c r="C128" s="137"/>
      <c r="D128" s="18"/>
    </row>
    <row r="129" spans="3:4" x14ac:dyDescent="0.2">
      <c r="C129" s="137"/>
      <c r="D129" s="18"/>
    </row>
    <row r="130" spans="3:4" x14ac:dyDescent="0.2">
      <c r="C130" s="137"/>
      <c r="D130" s="18"/>
    </row>
    <row r="131" spans="3:4" x14ac:dyDescent="0.2">
      <c r="C131" s="137"/>
      <c r="D131" s="18"/>
    </row>
    <row r="132" spans="3:4" x14ac:dyDescent="0.2">
      <c r="C132" s="137"/>
      <c r="D132" s="18"/>
    </row>
    <row r="133" spans="3:4" x14ac:dyDescent="0.2">
      <c r="C133" s="137"/>
      <c r="D133" s="18"/>
    </row>
    <row r="134" spans="3:4" x14ac:dyDescent="0.2">
      <c r="C134" s="137"/>
      <c r="D134" s="18"/>
    </row>
    <row r="135" spans="3:4" x14ac:dyDescent="0.2">
      <c r="C135" s="137"/>
      <c r="D135" s="18"/>
    </row>
    <row r="136" spans="3:4" x14ac:dyDescent="0.2">
      <c r="C136" s="137"/>
      <c r="D136" s="18"/>
    </row>
    <row r="137" spans="3:4" x14ac:dyDescent="0.2">
      <c r="C137" s="137"/>
      <c r="D137" s="18"/>
    </row>
    <row r="138" spans="3:4" x14ac:dyDescent="0.2">
      <c r="C138" s="137"/>
      <c r="D138" s="18"/>
    </row>
    <row r="139" spans="3:4" x14ac:dyDescent="0.2">
      <c r="C139" s="137"/>
      <c r="D139" s="18"/>
    </row>
    <row r="140" spans="3:4" x14ac:dyDescent="0.2">
      <c r="C140" s="137"/>
      <c r="D140" s="18"/>
    </row>
    <row r="141" spans="3:4" x14ac:dyDescent="0.2">
      <c r="C141" s="137"/>
      <c r="D141" s="18"/>
    </row>
    <row r="142" spans="3:4" x14ac:dyDescent="0.2">
      <c r="C142" s="137"/>
      <c r="D142" s="18"/>
    </row>
    <row r="143" spans="3:4" x14ac:dyDescent="0.2">
      <c r="C143" s="137"/>
      <c r="D143" s="18"/>
    </row>
    <row r="144" spans="3:4" x14ac:dyDescent="0.2">
      <c r="C144" s="137"/>
      <c r="D144" s="18"/>
    </row>
    <row r="145" spans="3:4" x14ac:dyDescent="0.2">
      <c r="C145" s="137"/>
      <c r="D145" s="18"/>
    </row>
    <row r="146" spans="3:4" x14ac:dyDescent="0.2">
      <c r="C146" s="137"/>
      <c r="D146" s="18"/>
    </row>
    <row r="147" spans="3:4" x14ac:dyDescent="0.2">
      <c r="C147" s="137"/>
      <c r="D147" s="18"/>
    </row>
    <row r="148" spans="3:4" x14ac:dyDescent="0.2">
      <c r="C148" s="137"/>
      <c r="D148" s="18"/>
    </row>
    <row r="149" spans="3:4" x14ac:dyDescent="0.2">
      <c r="C149" s="137"/>
      <c r="D149" s="18"/>
    </row>
    <row r="150" spans="3:4" x14ac:dyDescent="0.2">
      <c r="C150" s="137"/>
      <c r="D150" s="18"/>
    </row>
    <row r="151" spans="3:4" x14ac:dyDescent="0.2">
      <c r="C151" s="137"/>
      <c r="D151" s="18"/>
    </row>
    <row r="152" spans="3:4" x14ac:dyDescent="0.2">
      <c r="C152" s="137"/>
      <c r="D152" s="18"/>
    </row>
    <row r="153" spans="3:4" x14ac:dyDescent="0.2">
      <c r="C153" s="137"/>
      <c r="D153" s="18"/>
    </row>
    <row r="154" spans="3:4" x14ac:dyDescent="0.2">
      <c r="C154" s="137"/>
      <c r="D154" s="18"/>
    </row>
    <row r="155" spans="3:4" x14ac:dyDescent="0.2">
      <c r="C155" s="137"/>
      <c r="D155" s="18"/>
    </row>
    <row r="156" spans="3:4" x14ac:dyDescent="0.2">
      <c r="C156" s="137"/>
      <c r="D156" s="18"/>
    </row>
    <row r="157" spans="3:4" x14ac:dyDescent="0.2">
      <c r="C157" s="137"/>
      <c r="D157" s="18"/>
    </row>
    <row r="158" spans="3:4" x14ac:dyDescent="0.2">
      <c r="C158" s="137"/>
      <c r="D158" s="18"/>
    </row>
    <row r="159" spans="3:4" x14ac:dyDescent="0.2">
      <c r="C159" s="137"/>
      <c r="D159" s="18"/>
    </row>
    <row r="160" spans="3:4" x14ac:dyDescent="0.2">
      <c r="C160" s="137"/>
      <c r="D160" s="18"/>
    </row>
    <row r="161" spans="3:4" x14ac:dyDescent="0.2">
      <c r="C161" s="137"/>
      <c r="D161" s="18"/>
    </row>
    <row r="162" spans="3:4" x14ac:dyDescent="0.2">
      <c r="C162" s="137"/>
      <c r="D162" s="18"/>
    </row>
    <row r="163" spans="3:4" x14ac:dyDescent="0.2">
      <c r="C163" s="137"/>
      <c r="D163" s="18"/>
    </row>
    <row r="164" spans="3:4" x14ac:dyDescent="0.2">
      <c r="C164" s="137"/>
      <c r="D164" s="18"/>
    </row>
    <row r="165" spans="3:4" x14ac:dyDescent="0.2">
      <c r="C165" s="137"/>
      <c r="D165" s="18"/>
    </row>
    <row r="166" spans="3:4" x14ac:dyDescent="0.2">
      <c r="C166" s="137"/>
      <c r="D166" s="18"/>
    </row>
    <row r="167" spans="3:4" x14ac:dyDescent="0.2">
      <c r="C167" s="137"/>
      <c r="D167" s="18"/>
    </row>
    <row r="168" spans="3:4" x14ac:dyDescent="0.2">
      <c r="C168" s="137"/>
      <c r="D168" s="18"/>
    </row>
    <row r="169" spans="3:4" x14ac:dyDescent="0.2">
      <c r="C169" s="137"/>
      <c r="D169" s="18"/>
    </row>
    <row r="170" spans="3:4" x14ac:dyDescent="0.2">
      <c r="C170" s="137"/>
      <c r="D170" s="18"/>
    </row>
    <row r="171" spans="3:4" x14ac:dyDescent="0.2">
      <c r="C171" s="137"/>
      <c r="D171" s="18"/>
    </row>
    <row r="172" spans="3:4" x14ac:dyDescent="0.2">
      <c r="C172" s="137"/>
      <c r="D172" s="18"/>
    </row>
    <row r="173" spans="3:4" x14ac:dyDescent="0.2">
      <c r="C173" s="137"/>
      <c r="D173" s="18"/>
    </row>
    <row r="174" spans="3:4" x14ac:dyDescent="0.2">
      <c r="C174" s="137"/>
      <c r="D174" s="18"/>
    </row>
    <row r="175" spans="3:4" x14ac:dyDescent="0.2">
      <c r="C175" s="137"/>
      <c r="D175" s="18"/>
    </row>
    <row r="176" spans="3:4" x14ac:dyDescent="0.2">
      <c r="C176" s="137"/>
      <c r="D176" s="18"/>
    </row>
    <row r="177" spans="3:4" x14ac:dyDescent="0.2">
      <c r="C177" s="137"/>
      <c r="D177" s="18"/>
    </row>
    <row r="178" spans="3:4" x14ac:dyDescent="0.2">
      <c r="C178" s="137"/>
      <c r="D178" s="18"/>
    </row>
    <row r="179" spans="3:4" x14ac:dyDescent="0.2">
      <c r="C179" s="137"/>
      <c r="D179" s="18"/>
    </row>
    <row r="180" spans="3:4" x14ac:dyDescent="0.2">
      <c r="C180" s="137"/>
      <c r="D180" s="18"/>
    </row>
    <row r="181" spans="3:4" x14ac:dyDescent="0.2">
      <c r="C181" s="137"/>
      <c r="D181" s="18"/>
    </row>
    <row r="182" spans="3:4" x14ac:dyDescent="0.2">
      <c r="C182" s="137"/>
      <c r="D182" s="18"/>
    </row>
    <row r="183" spans="3:4" x14ac:dyDescent="0.2">
      <c r="C183" s="137"/>
      <c r="D183" s="18"/>
    </row>
    <row r="184" spans="3:4" x14ac:dyDescent="0.2">
      <c r="C184" s="137"/>
      <c r="D184" s="18"/>
    </row>
    <row r="185" spans="3:4" x14ac:dyDescent="0.2">
      <c r="C185" s="137"/>
      <c r="D185" s="18"/>
    </row>
    <row r="186" spans="3:4" x14ac:dyDescent="0.2">
      <c r="C186" s="137"/>
      <c r="D186" s="18"/>
    </row>
    <row r="187" spans="3:4" x14ac:dyDescent="0.2">
      <c r="C187" s="137"/>
      <c r="D187" s="18"/>
    </row>
    <row r="188" spans="3:4" x14ac:dyDescent="0.2">
      <c r="C188" s="137"/>
      <c r="D188" s="18"/>
    </row>
    <row r="189" spans="3:4" x14ac:dyDescent="0.2">
      <c r="C189" s="137"/>
      <c r="D189" s="18"/>
    </row>
    <row r="190" spans="3:4" x14ac:dyDescent="0.2">
      <c r="C190" s="137"/>
      <c r="D190" s="18"/>
    </row>
    <row r="191" spans="3:4" x14ac:dyDescent="0.2">
      <c r="C191" s="137"/>
      <c r="D191" s="18"/>
    </row>
    <row r="192" spans="3:4" x14ac:dyDescent="0.2">
      <c r="C192" s="137"/>
      <c r="D192" s="18"/>
    </row>
    <row r="193" spans="3:4" x14ac:dyDescent="0.2">
      <c r="C193" s="137"/>
      <c r="D193" s="18"/>
    </row>
    <row r="194" spans="3:4" x14ac:dyDescent="0.2">
      <c r="C194" s="137"/>
      <c r="D194" s="18"/>
    </row>
    <row r="195" spans="3:4" x14ac:dyDescent="0.2">
      <c r="C195" s="137"/>
      <c r="D195" s="18"/>
    </row>
    <row r="196" spans="3:4" x14ac:dyDescent="0.2">
      <c r="C196" s="137"/>
      <c r="D196" s="18"/>
    </row>
    <row r="197" spans="3:4" x14ac:dyDescent="0.2">
      <c r="C197" s="137"/>
      <c r="D197" s="18"/>
    </row>
    <row r="198" spans="3:4" x14ac:dyDescent="0.2">
      <c r="C198" s="137"/>
      <c r="D198" s="18"/>
    </row>
    <row r="199" spans="3:4" x14ac:dyDescent="0.2">
      <c r="C199" s="137"/>
      <c r="D199" s="18"/>
    </row>
    <row r="200" spans="3:4" x14ac:dyDescent="0.2">
      <c r="C200" s="137"/>
      <c r="D200" s="18"/>
    </row>
    <row r="201" spans="3:4" x14ac:dyDescent="0.2">
      <c r="C201" s="137"/>
      <c r="D201" s="18"/>
    </row>
    <row r="202" spans="3:4" x14ac:dyDescent="0.2">
      <c r="C202" s="137"/>
      <c r="D202" s="18"/>
    </row>
    <row r="203" spans="3:4" x14ac:dyDescent="0.2">
      <c r="C203" s="137"/>
      <c r="D203" s="18"/>
    </row>
    <row r="204" spans="3:4" x14ac:dyDescent="0.2">
      <c r="C204" s="137"/>
      <c r="D204" s="18"/>
    </row>
    <row r="205" spans="3:4" x14ac:dyDescent="0.2">
      <c r="C205" s="137"/>
      <c r="D205" s="18"/>
    </row>
    <row r="206" spans="3:4" x14ac:dyDescent="0.2">
      <c r="C206" s="137"/>
      <c r="D206" s="18"/>
    </row>
    <row r="207" spans="3:4" x14ac:dyDescent="0.2">
      <c r="C207" s="137"/>
      <c r="D207" s="18"/>
    </row>
    <row r="208" spans="3:4" x14ac:dyDescent="0.2">
      <c r="C208" s="137"/>
      <c r="D208" s="18"/>
    </row>
    <row r="209" spans="3:4" x14ac:dyDescent="0.2">
      <c r="C209" s="137"/>
      <c r="D209" s="18"/>
    </row>
    <row r="210" spans="3:4" x14ac:dyDescent="0.2">
      <c r="C210" s="137"/>
      <c r="D210" s="18"/>
    </row>
    <row r="211" spans="3:4" x14ac:dyDescent="0.2">
      <c r="C211" s="137"/>
      <c r="D211" s="18"/>
    </row>
    <row r="212" spans="3:4" x14ac:dyDescent="0.2">
      <c r="C212" s="137"/>
      <c r="D212" s="18"/>
    </row>
    <row r="213" spans="3:4" x14ac:dyDescent="0.2">
      <c r="C213" s="137"/>
      <c r="D213" s="18"/>
    </row>
    <row r="214" spans="3:4" x14ac:dyDescent="0.2">
      <c r="C214" s="137"/>
      <c r="D214" s="18"/>
    </row>
    <row r="215" spans="3:4" x14ac:dyDescent="0.2">
      <c r="C215" s="137"/>
      <c r="D215" s="18"/>
    </row>
    <row r="216" spans="3:4" x14ac:dyDescent="0.2">
      <c r="C216" s="137"/>
      <c r="D216" s="18"/>
    </row>
    <row r="217" spans="3:4" x14ac:dyDescent="0.2">
      <c r="C217" s="137"/>
      <c r="D217" s="18"/>
    </row>
    <row r="218" spans="3:4" x14ac:dyDescent="0.2">
      <c r="C218" s="137"/>
      <c r="D218" s="18"/>
    </row>
    <row r="219" spans="3:4" x14ac:dyDescent="0.2">
      <c r="C219" s="137"/>
      <c r="D219" s="18"/>
    </row>
    <row r="220" spans="3:4" x14ac:dyDescent="0.2">
      <c r="C220" s="137"/>
      <c r="D220" s="18"/>
    </row>
    <row r="221" spans="3:4" x14ac:dyDescent="0.2">
      <c r="C221" s="137"/>
      <c r="D221" s="18"/>
    </row>
    <row r="222" spans="3:4" x14ac:dyDescent="0.2">
      <c r="C222" s="137"/>
      <c r="D222" s="18"/>
    </row>
    <row r="223" spans="3:4" x14ac:dyDescent="0.2">
      <c r="C223" s="137"/>
      <c r="D223" s="18"/>
    </row>
    <row r="224" spans="3:4" x14ac:dyDescent="0.2">
      <c r="C224" s="137"/>
      <c r="D224" s="18"/>
    </row>
    <row r="225" spans="3:4" x14ac:dyDescent="0.2">
      <c r="C225" s="137"/>
      <c r="D225" s="18"/>
    </row>
    <row r="226" spans="3:4" x14ac:dyDescent="0.2">
      <c r="C226" s="137"/>
      <c r="D226" s="18"/>
    </row>
    <row r="227" spans="3:4" x14ac:dyDescent="0.2">
      <c r="C227" s="137"/>
      <c r="D227" s="18"/>
    </row>
    <row r="228" spans="3:4" x14ac:dyDescent="0.2">
      <c r="C228" s="137"/>
      <c r="D228" s="18"/>
    </row>
    <row r="229" spans="3:4" x14ac:dyDescent="0.2">
      <c r="C229" s="137"/>
      <c r="D229" s="18"/>
    </row>
    <row r="230" spans="3:4" x14ac:dyDescent="0.2">
      <c r="C230" s="137"/>
      <c r="D230" s="18"/>
    </row>
    <row r="231" spans="3:4" x14ac:dyDescent="0.2">
      <c r="C231" s="137"/>
      <c r="D231" s="18"/>
    </row>
    <row r="232" spans="3:4" x14ac:dyDescent="0.2">
      <c r="C232" s="137"/>
      <c r="D232" s="18"/>
    </row>
    <row r="233" spans="3:4" x14ac:dyDescent="0.2">
      <c r="C233" s="137"/>
      <c r="D233" s="18"/>
    </row>
    <row r="234" spans="3:4" x14ac:dyDescent="0.2">
      <c r="C234" s="137"/>
      <c r="D234" s="18"/>
    </row>
    <row r="235" spans="3:4" x14ac:dyDescent="0.2">
      <c r="C235" s="137"/>
      <c r="D235" s="18"/>
    </row>
    <row r="236" spans="3:4" x14ac:dyDescent="0.2">
      <c r="C236" s="137"/>
      <c r="D236" s="18"/>
    </row>
  </sheetData>
  <mergeCells count="2">
    <mergeCell ref="A1:D1"/>
    <mergeCell ref="A2:D2"/>
  </mergeCells>
  <phoneticPr fontId="0" type="noConversion"/>
  <pageMargins left="0.98425196850393704" right="0.98425196850393704" top="0.98425196850393704" bottom="0.59055118110236227" header="0" footer="0"/>
  <pageSetup paperSize="9" scale="97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F98"/>
  <sheetViews>
    <sheetView showGridLines="0" workbookViewId="0">
      <selection activeCell="E20" sqref="E20"/>
    </sheetView>
  </sheetViews>
  <sheetFormatPr baseColWidth="10" defaultRowHeight="12.75" x14ac:dyDescent="0.2"/>
  <cols>
    <col min="1" max="1" width="12.7109375" style="85" customWidth="1"/>
    <col min="2" max="2" width="47.140625" style="103" customWidth="1"/>
    <col min="3" max="3" width="10.140625" style="35" bestFit="1" customWidth="1"/>
    <col min="4" max="4" width="11.42578125" style="4" customWidth="1"/>
    <col min="5" max="16384" width="11.42578125" style="4"/>
  </cols>
  <sheetData>
    <row r="1" spans="1:6" ht="18.75" x14ac:dyDescent="0.2">
      <c r="A1" s="540" t="s">
        <v>406</v>
      </c>
      <c r="B1" s="541"/>
      <c r="C1" s="541"/>
      <c r="D1" s="541"/>
    </row>
    <row r="2" spans="1:6" ht="15" x14ac:dyDescent="0.2">
      <c r="A2" s="542" t="s">
        <v>931</v>
      </c>
      <c r="B2" s="539"/>
      <c r="C2" s="539"/>
      <c r="D2" s="539"/>
    </row>
    <row r="3" spans="1:6" x14ac:dyDescent="0.2">
      <c r="A3" s="482">
        <v>1</v>
      </c>
      <c r="B3" s="481" t="s">
        <v>4</v>
      </c>
      <c r="C3" s="350"/>
      <c r="D3" s="350"/>
    </row>
    <row r="4" spans="1:6" ht="15" x14ac:dyDescent="0.2">
      <c r="A4" s="483">
        <v>1.2</v>
      </c>
      <c r="B4" s="345" t="s">
        <v>416</v>
      </c>
      <c r="C4" s="350"/>
      <c r="D4" s="351"/>
    </row>
    <row r="5" spans="1:6" x14ac:dyDescent="0.2">
      <c r="A5" s="336" t="s">
        <v>426</v>
      </c>
      <c r="B5" s="345" t="s">
        <v>427</v>
      </c>
      <c r="C5" s="350"/>
      <c r="D5" s="350"/>
    </row>
    <row r="6" spans="1:6" s="101" customFormat="1" ht="18" customHeight="1" x14ac:dyDescent="0.2">
      <c r="A6" s="54" t="s">
        <v>5</v>
      </c>
      <c r="B6" s="100" t="s">
        <v>6</v>
      </c>
      <c r="C6" s="126" t="s">
        <v>400</v>
      </c>
      <c r="D6" s="33" t="s">
        <v>7</v>
      </c>
      <c r="E6" s="204"/>
      <c r="F6" s="204"/>
    </row>
    <row r="7" spans="1:6" s="101" customFormat="1" x14ac:dyDescent="0.2">
      <c r="A7" s="99"/>
      <c r="B7" s="100"/>
      <c r="C7" s="126"/>
      <c r="D7" s="33"/>
    </row>
    <row r="8" spans="1:6" x14ac:dyDescent="0.2">
      <c r="A8" s="54"/>
      <c r="B8" s="93" t="s">
        <v>7</v>
      </c>
      <c r="C8" s="40">
        <f>SUM(C9:C71)</f>
        <v>150106.53</v>
      </c>
      <c r="D8" s="40">
        <f>+D9+D56+D67</f>
        <v>150106.53</v>
      </c>
      <c r="E8" s="208"/>
      <c r="F8" s="209"/>
    </row>
    <row r="9" spans="1:6" x14ac:dyDescent="0.2">
      <c r="A9" s="54">
        <v>5</v>
      </c>
      <c r="B9" s="93" t="s">
        <v>8</v>
      </c>
      <c r="C9" s="40"/>
      <c r="D9" s="40">
        <f>+D10+D34</f>
        <v>139073.81</v>
      </c>
    </row>
    <row r="10" spans="1:6" x14ac:dyDescent="0.2">
      <c r="A10" s="42">
        <v>5.0999999999999996</v>
      </c>
      <c r="B10" s="43" t="s">
        <v>9</v>
      </c>
      <c r="C10" s="40"/>
      <c r="D10" s="40">
        <f>+D11+D15+D25+D29</f>
        <v>26271.239999999998</v>
      </c>
    </row>
    <row r="11" spans="1:6" x14ac:dyDescent="0.2">
      <c r="A11" s="42" t="s">
        <v>10</v>
      </c>
      <c r="B11" s="43" t="s">
        <v>11</v>
      </c>
      <c r="C11" s="40"/>
      <c r="D11" s="40">
        <f>SUM(C12:C14)</f>
        <v>20160</v>
      </c>
    </row>
    <row r="12" spans="1:6" x14ac:dyDescent="0.2">
      <c r="A12" s="45" t="s">
        <v>251</v>
      </c>
      <c r="B12" s="46" t="s">
        <v>762</v>
      </c>
      <c r="C12" s="41"/>
      <c r="D12" s="41"/>
    </row>
    <row r="13" spans="1:6" x14ac:dyDescent="0.2">
      <c r="A13" s="45" t="s">
        <v>183</v>
      </c>
      <c r="B13" s="46" t="s">
        <v>763</v>
      </c>
      <c r="C13" s="47">
        <v>20160</v>
      </c>
      <c r="D13" s="44">
        <f>SUM(C14:C15)</f>
        <v>0</v>
      </c>
      <c r="E13" s="18"/>
    </row>
    <row r="14" spans="1:6" x14ac:dyDescent="0.2">
      <c r="A14" s="45" t="s">
        <v>760</v>
      </c>
      <c r="B14" s="46" t="s">
        <v>764</v>
      </c>
      <c r="C14" s="47"/>
      <c r="D14" s="47"/>
    </row>
    <row r="15" spans="1:6" x14ac:dyDescent="0.2">
      <c r="A15" s="42" t="s">
        <v>252</v>
      </c>
      <c r="B15" s="43" t="s">
        <v>253</v>
      </c>
      <c r="C15" s="47"/>
      <c r="D15" s="47">
        <f>SUM(C16:C17)</f>
        <v>2082.6</v>
      </c>
    </row>
    <row r="16" spans="1:6" x14ac:dyDescent="0.2">
      <c r="A16" s="45" t="s">
        <v>254</v>
      </c>
      <c r="B16" s="46" t="s">
        <v>255</v>
      </c>
      <c r="C16" s="41">
        <v>1680</v>
      </c>
      <c r="D16" s="40"/>
    </row>
    <row r="17" spans="1:4" x14ac:dyDescent="0.2">
      <c r="A17" s="45" t="s">
        <v>256</v>
      </c>
      <c r="B17" s="46" t="s">
        <v>257</v>
      </c>
      <c r="C17" s="229">
        <v>402.6</v>
      </c>
      <c r="D17" s="58"/>
    </row>
    <row r="18" spans="1:4" x14ac:dyDescent="0.2">
      <c r="A18" s="54" t="s">
        <v>349</v>
      </c>
      <c r="B18" s="56" t="s">
        <v>350</v>
      </c>
      <c r="C18" s="47"/>
      <c r="D18" s="44"/>
    </row>
    <row r="19" spans="1:4" x14ac:dyDescent="0.2">
      <c r="A19" s="57" t="s">
        <v>508</v>
      </c>
      <c r="B19" s="58" t="s">
        <v>509</v>
      </c>
      <c r="C19" s="48"/>
      <c r="D19" s="49"/>
    </row>
    <row r="20" spans="1:4" x14ac:dyDescent="0.2">
      <c r="A20" s="57" t="s">
        <v>351</v>
      </c>
      <c r="B20" s="58" t="s">
        <v>830</v>
      </c>
      <c r="C20" s="48"/>
      <c r="D20" s="49"/>
    </row>
    <row r="21" spans="1:4" x14ac:dyDescent="0.2">
      <c r="A21" s="42" t="s">
        <v>184</v>
      </c>
      <c r="B21" s="59" t="s">
        <v>185</v>
      </c>
      <c r="C21" s="48"/>
      <c r="D21" s="49"/>
    </row>
    <row r="22" spans="1:4" x14ac:dyDescent="0.2">
      <c r="A22" s="45" t="s">
        <v>277</v>
      </c>
      <c r="B22" s="60" t="s">
        <v>719</v>
      </c>
      <c r="C22" s="48"/>
      <c r="D22" s="49"/>
    </row>
    <row r="23" spans="1:4" x14ac:dyDescent="0.2">
      <c r="A23" s="45" t="s">
        <v>479</v>
      </c>
      <c r="B23" s="46" t="s">
        <v>480</v>
      </c>
      <c r="C23" s="48"/>
      <c r="D23" s="49"/>
    </row>
    <row r="24" spans="1:4" x14ac:dyDescent="0.2">
      <c r="A24" s="42" t="s">
        <v>187</v>
      </c>
      <c r="B24" s="43" t="s">
        <v>186</v>
      </c>
      <c r="C24" s="48"/>
      <c r="D24" s="49"/>
    </row>
    <row r="25" spans="1:4" x14ac:dyDescent="0.2">
      <c r="A25" s="42" t="s">
        <v>766</v>
      </c>
      <c r="B25" s="43" t="s">
        <v>767</v>
      </c>
      <c r="C25" s="48"/>
      <c r="D25" s="216">
        <f>SUM(C26:C28)</f>
        <v>0</v>
      </c>
    </row>
    <row r="26" spans="1:4" x14ac:dyDescent="0.2">
      <c r="A26" s="45" t="s">
        <v>258</v>
      </c>
      <c r="B26" s="46" t="s">
        <v>259</v>
      </c>
      <c r="C26" s="48"/>
      <c r="D26" s="49"/>
    </row>
    <row r="27" spans="1:4" x14ac:dyDescent="0.2">
      <c r="A27" s="45" t="s">
        <v>769</v>
      </c>
      <c r="B27" s="46" t="s">
        <v>676</v>
      </c>
      <c r="C27" s="48"/>
      <c r="D27" s="49"/>
    </row>
    <row r="28" spans="1:4" x14ac:dyDescent="0.2">
      <c r="A28" s="45" t="s">
        <v>542</v>
      </c>
      <c r="B28" s="46" t="s">
        <v>543</v>
      </c>
      <c r="C28" s="48"/>
      <c r="D28" s="49"/>
    </row>
    <row r="29" spans="1:4" x14ac:dyDescent="0.2">
      <c r="A29" s="42" t="s">
        <v>12</v>
      </c>
      <c r="B29" s="43" t="s">
        <v>13</v>
      </c>
      <c r="C29" s="48"/>
      <c r="D29" s="216">
        <f>SUM(C30:C31)</f>
        <v>4028.64</v>
      </c>
    </row>
    <row r="30" spans="1:4" x14ac:dyDescent="0.2">
      <c r="A30" s="45" t="s">
        <v>260</v>
      </c>
      <c r="B30" s="46" t="s">
        <v>261</v>
      </c>
      <c r="C30" s="48">
        <v>2348.64</v>
      </c>
      <c r="D30" s="49"/>
    </row>
    <row r="31" spans="1:4" x14ac:dyDescent="0.2">
      <c r="A31" s="45" t="s">
        <v>510</v>
      </c>
      <c r="B31" s="46" t="s">
        <v>700</v>
      </c>
      <c r="C31" s="48">
        <v>1680</v>
      </c>
      <c r="D31" s="49"/>
    </row>
    <row r="32" spans="1:4" x14ac:dyDescent="0.2">
      <c r="A32" s="42" t="s">
        <v>302</v>
      </c>
      <c r="B32" s="43" t="s">
        <v>303</v>
      </c>
      <c r="C32" s="48"/>
      <c r="D32" s="226">
        <f>SUM(C33)</f>
        <v>0</v>
      </c>
    </row>
    <row r="33" spans="1:4" x14ac:dyDescent="0.2">
      <c r="A33" s="45" t="s">
        <v>768</v>
      </c>
      <c r="B33" s="46" t="s">
        <v>776</v>
      </c>
      <c r="C33" s="48"/>
      <c r="D33" s="49"/>
    </row>
    <row r="34" spans="1:4" x14ac:dyDescent="0.2">
      <c r="A34" s="54">
        <v>5.3</v>
      </c>
      <c r="B34" s="93" t="s">
        <v>14</v>
      </c>
      <c r="C34" s="40" t="s">
        <v>147</v>
      </c>
      <c r="D34" s="40">
        <f>+D35+D38+D43+D46+D50+D52</f>
        <v>112802.56999999999</v>
      </c>
    </row>
    <row r="35" spans="1:4" x14ac:dyDescent="0.2">
      <c r="A35" s="54" t="s">
        <v>15</v>
      </c>
      <c r="B35" s="93" t="s">
        <v>16</v>
      </c>
      <c r="C35" s="40"/>
      <c r="D35" s="40">
        <f>SUM(C36:C37)</f>
        <v>5079.04</v>
      </c>
    </row>
    <row r="36" spans="1:4" x14ac:dyDescent="0.2">
      <c r="A36" s="57" t="s">
        <v>17</v>
      </c>
      <c r="B36" s="94" t="s">
        <v>18</v>
      </c>
      <c r="C36" s="41">
        <v>4599.8599999999997</v>
      </c>
      <c r="D36" s="154"/>
    </row>
    <row r="37" spans="1:4" x14ac:dyDescent="0.2">
      <c r="A37" s="57" t="s">
        <v>19</v>
      </c>
      <c r="B37" s="94" t="s">
        <v>20</v>
      </c>
      <c r="C37" s="41">
        <v>479.18</v>
      </c>
      <c r="D37" s="154"/>
    </row>
    <row r="38" spans="1:4" x14ac:dyDescent="0.2">
      <c r="A38" s="54" t="s">
        <v>23</v>
      </c>
      <c r="B38" s="93" t="s">
        <v>4</v>
      </c>
      <c r="C38" s="40"/>
      <c r="D38" s="40">
        <f>SUM(C39:C42)</f>
        <v>102075.53</v>
      </c>
    </row>
    <row r="39" spans="1:4" ht="33.75" x14ac:dyDescent="0.2">
      <c r="A39" s="52" t="s">
        <v>26</v>
      </c>
      <c r="B39" s="94" t="s">
        <v>537</v>
      </c>
      <c r="C39" s="53">
        <v>1500</v>
      </c>
      <c r="D39" s="40"/>
    </row>
    <row r="40" spans="1:4" x14ac:dyDescent="0.2">
      <c r="A40" s="57" t="s">
        <v>29</v>
      </c>
      <c r="B40" s="94" t="s">
        <v>30</v>
      </c>
      <c r="C40" s="41">
        <v>60</v>
      </c>
      <c r="D40" s="41"/>
    </row>
    <row r="41" spans="1:4" x14ac:dyDescent="0.2">
      <c r="A41" s="45" t="s">
        <v>361</v>
      </c>
      <c r="B41" s="46" t="s">
        <v>362</v>
      </c>
      <c r="C41" s="41">
        <v>73729.47</v>
      </c>
      <c r="D41" s="41"/>
    </row>
    <row r="42" spans="1:4" ht="22.5" x14ac:dyDescent="0.2">
      <c r="A42" s="45" t="s">
        <v>363</v>
      </c>
      <c r="B42" s="46" t="s">
        <v>538</v>
      </c>
      <c r="C42" s="41">
        <f>25386.06+1400</f>
        <v>26786.06</v>
      </c>
      <c r="D42" s="41"/>
    </row>
    <row r="43" spans="1:4" x14ac:dyDescent="0.2">
      <c r="A43" s="54" t="s">
        <v>33</v>
      </c>
      <c r="B43" s="93" t="s">
        <v>34</v>
      </c>
      <c r="C43" s="40"/>
      <c r="D43" s="40">
        <f>+C44+C45</f>
        <v>500</v>
      </c>
    </row>
    <row r="44" spans="1:4" x14ac:dyDescent="0.2">
      <c r="A44" s="57" t="s">
        <v>35</v>
      </c>
      <c r="B44" s="94" t="s">
        <v>36</v>
      </c>
      <c r="C44" s="41">
        <v>300</v>
      </c>
      <c r="D44" s="41"/>
    </row>
    <row r="45" spans="1:4" x14ac:dyDescent="0.2">
      <c r="A45" s="57" t="s">
        <v>37</v>
      </c>
      <c r="B45" s="94" t="s">
        <v>38</v>
      </c>
      <c r="C45" s="41">
        <v>200</v>
      </c>
      <c r="D45" s="41"/>
    </row>
    <row r="46" spans="1:4" x14ac:dyDescent="0.2">
      <c r="A46" s="54" t="s">
        <v>39</v>
      </c>
      <c r="B46" s="93" t="s">
        <v>40</v>
      </c>
      <c r="C46" s="40"/>
      <c r="D46" s="40">
        <f>SUM(C47:C49)</f>
        <v>3420</v>
      </c>
    </row>
    <row r="47" spans="1:4" ht="22.5" x14ac:dyDescent="0.2">
      <c r="A47" s="52" t="s">
        <v>200</v>
      </c>
      <c r="B47" s="46" t="s">
        <v>547</v>
      </c>
      <c r="C47" s="41">
        <v>3000</v>
      </c>
      <c r="D47" s="41"/>
    </row>
    <row r="48" spans="1:4" x14ac:dyDescent="0.2">
      <c r="A48" s="57" t="s">
        <v>41</v>
      </c>
      <c r="B48" s="94" t="s">
        <v>149</v>
      </c>
      <c r="C48" s="41">
        <v>420</v>
      </c>
      <c r="D48" s="40"/>
    </row>
    <row r="49" spans="1:5" x14ac:dyDescent="0.2">
      <c r="A49" s="57" t="s">
        <v>43</v>
      </c>
      <c r="B49" s="94" t="s">
        <v>189</v>
      </c>
      <c r="C49" s="41"/>
      <c r="D49" s="41"/>
    </row>
    <row r="50" spans="1:5" x14ac:dyDescent="0.2">
      <c r="A50" s="54" t="s">
        <v>51</v>
      </c>
      <c r="B50" s="93" t="s">
        <v>52</v>
      </c>
      <c r="C50" s="40"/>
      <c r="D50" s="40">
        <f>+C51</f>
        <v>500</v>
      </c>
    </row>
    <row r="51" spans="1:5" x14ac:dyDescent="0.2">
      <c r="A51" s="57" t="s">
        <v>53</v>
      </c>
      <c r="B51" s="94" t="s">
        <v>54</v>
      </c>
      <c r="C51" s="41">
        <v>500</v>
      </c>
      <c r="D51" s="41"/>
    </row>
    <row r="52" spans="1:5" x14ac:dyDescent="0.2">
      <c r="A52" s="54" t="s">
        <v>55</v>
      </c>
      <c r="B52" s="93" t="s">
        <v>56</v>
      </c>
      <c r="C52" s="40"/>
      <c r="D52" s="40">
        <f>SUM(C53:C55)</f>
        <v>1228</v>
      </c>
    </row>
    <row r="53" spans="1:5" x14ac:dyDescent="0.2">
      <c r="A53" s="57" t="s">
        <v>59</v>
      </c>
      <c r="B53" s="94" t="s">
        <v>60</v>
      </c>
      <c r="C53" s="41">
        <v>228</v>
      </c>
      <c r="D53" s="41"/>
    </row>
    <row r="54" spans="1:5" x14ac:dyDescent="0.2">
      <c r="A54" s="57" t="s">
        <v>63</v>
      </c>
      <c r="B54" s="94" t="s">
        <v>179</v>
      </c>
      <c r="C54" s="41">
        <v>400</v>
      </c>
      <c r="D54" s="41"/>
    </row>
    <row r="55" spans="1:5" x14ac:dyDescent="0.2">
      <c r="A55" s="57" t="s">
        <v>65</v>
      </c>
      <c r="B55" s="94" t="s">
        <v>458</v>
      </c>
      <c r="C55" s="41">
        <v>600</v>
      </c>
      <c r="D55" s="41"/>
    </row>
    <row r="56" spans="1:5" x14ac:dyDescent="0.2">
      <c r="A56" s="54">
        <v>7.5</v>
      </c>
      <c r="B56" s="93" t="s">
        <v>170</v>
      </c>
      <c r="C56" s="41"/>
      <c r="D56" s="40">
        <f>+D57</f>
        <v>7652.28</v>
      </c>
    </row>
    <row r="57" spans="1:5" x14ac:dyDescent="0.2">
      <c r="A57" s="54" t="s">
        <v>173</v>
      </c>
      <c r="B57" s="93" t="s">
        <v>174</v>
      </c>
      <c r="C57" s="41"/>
      <c r="D57" s="40">
        <f>+C59+C60+C61+C62+C63+C64+C65+C66</f>
        <v>7652.28</v>
      </c>
    </row>
    <row r="58" spans="1:5" s="14" customFormat="1" x14ac:dyDescent="0.2">
      <c r="A58" s="54" t="s">
        <v>175</v>
      </c>
      <c r="B58" s="93" t="s">
        <v>176</v>
      </c>
      <c r="C58" s="40"/>
      <c r="D58" s="40"/>
    </row>
    <row r="59" spans="1:5" s="28" customFormat="1" x14ac:dyDescent="0.2">
      <c r="A59" s="52" t="s">
        <v>223</v>
      </c>
      <c r="B59" s="65" t="s">
        <v>887</v>
      </c>
      <c r="C59" s="53">
        <v>1200</v>
      </c>
      <c r="D59" s="53"/>
    </row>
    <row r="60" spans="1:5" s="28" customFormat="1" ht="22.5" x14ac:dyDescent="0.2">
      <c r="A60" s="52" t="s">
        <v>224</v>
      </c>
      <c r="B60" s="65" t="s">
        <v>486</v>
      </c>
      <c r="C60" s="53"/>
      <c r="D60" s="53"/>
      <c r="E60" s="167"/>
    </row>
    <row r="61" spans="1:5" s="203" customFormat="1" x14ac:dyDescent="0.2">
      <c r="A61" s="52" t="s">
        <v>240</v>
      </c>
      <c r="B61" s="65" t="s">
        <v>195</v>
      </c>
      <c r="C61" s="53">
        <v>2300</v>
      </c>
      <c r="D61" s="201"/>
      <c r="E61" s="202"/>
    </row>
    <row r="62" spans="1:5" s="203" customFormat="1" x14ac:dyDescent="0.2">
      <c r="A62" s="52" t="s">
        <v>241</v>
      </c>
      <c r="B62" s="65" t="s">
        <v>487</v>
      </c>
      <c r="C62" s="53">
        <v>1500</v>
      </c>
      <c r="D62" s="201"/>
      <c r="E62" s="202"/>
    </row>
    <row r="63" spans="1:5" s="203" customFormat="1" x14ac:dyDescent="0.2">
      <c r="A63" s="52" t="s">
        <v>247</v>
      </c>
      <c r="B63" s="65" t="s">
        <v>886</v>
      </c>
      <c r="C63" s="53">
        <v>1500</v>
      </c>
      <c r="D63" s="201"/>
      <c r="E63" s="202"/>
    </row>
    <row r="64" spans="1:5" s="203" customFormat="1" x14ac:dyDescent="0.2">
      <c r="A64" s="52" t="s">
        <v>274</v>
      </c>
      <c r="B64" s="65" t="s">
        <v>488</v>
      </c>
      <c r="C64" s="53">
        <v>1152.28</v>
      </c>
      <c r="D64" s="201"/>
      <c r="E64" s="202"/>
    </row>
    <row r="65" spans="1:5" s="28" customFormat="1" x14ac:dyDescent="0.2">
      <c r="A65" s="52" t="s">
        <v>369</v>
      </c>
      <c r="B65" s="65" t="s">
        <v>540</v>
      </c>
      <c r="C65" s="53"/>
      <c r="D65" s="53"/>
      <c r="E65" s="167"/>
    </row>
    <row r="66" spans="1:5" s="28" customFormat="1" x14ac:dyDescent="0.2">
      <c r="A66" s="52" t="s">
        <v>370</v>
      </c>
      <c r="B66" s="65" t="s">
        <v>699</v>
      </c>
      <c r="C66" s="53"/>
      <c r="D66" s="53"/>
      <c r="E66" s="167"/>
    </row>
    <row r="67" spans="1:5" x14ac:dyDescent="0.2">
      <c r="A67" s="42">
        <v>8</v>
      </c>
      <c r="B67" s="43" t="s">
        <v>74</v>
      </c>
      <c r="C67" s="44"/>
      <c r="D67" s="44">
        <f>+D68</f>
        <v>3380.44</v>
      </c>
    </row>
    <row r="68" spans="1:5" x14ac:dyDescent="0.2">
      <c r="A68" s="42">
        <v>8.4</v>
      </c>
      <c r="B68" s="43" t="s">
        <v>75</v>
      </c>
      <c r="C68" s="44"/>
      <c r="D68" s="44">
        <f>+D69</f>
        <v>3380.44</v>
      </c>
    </row>
    <row r="69" spans="1:5" x14ac:dyDescent="0.2">
      <c r="A69" s="42" t="s">
        <v>76</v>
      </c>
      <c r="B69" s="43" t="s">
        <v>77</v>
      </c>
      <c r="C69" s="44"/>
      <c r="D69" s="44">
        <f>SUM(C70:C71)</f>
        <v>3380.44</v>
      </c>
    </row>
    <row r="70" spans="1:5" x14ac:dyDescent="0.2">
      <c r="A70" s="57" t="s">
        <v>301</v>
      </c>
      <c r="B70" s="58" t="s">
        <v>541</v>
      </c>
      <c r="C70" s="47">
        <v>1380.44</v>
      </c>
      <c r="D70" s="44"/>
    </row>
    <row r="71" spans="1:5" s="28" customFormat="1" x14ac:dyDescent="0.2">
      <c r="A71" s="52" t="s">
        <v>203</v>
      </c>
      <c r="B71" s="46" t="s">
        <v>828</v>
      </c>
      <c r="C71" s="53">
        <v>2000</v>
      </c>
      <c r="D71" s="51"/>
    </row>
    <row r="72" spans="1:5" x14ac:dyDescent="0.2">
      <c r="B72" s="80"/>
      <c r="C72" s="69"/>
      <c r="D72" s="124"/>
    </row>
    <row r="73" spans="1:5" x14ac:dyDescent="0.2">
      <c r="B73" s="155"/>
      <c r="C73" s="137"/>
      <c r="D73" s="127"/>
    </row>
    <row r="74" spans="1:5" x14ac:dyDescent="0.2">
      <c r="C74" s="39">
        <f>SUM(C9:C71)</f>
        <v>150106.53</v>
      </c>
      <c r="D74" s="18"/>
    </row>
    <row r="75" spans="1:5" x14ac:dyDescent="0.2">
      <c r="C75" s="39"/>
      <c r="D75" s="18"/>
    </row>
    <row r="76" spans="1:5" x14ac:dyDescent="0.2">
      <c r="C76" s="39"/>
      <c r="D76" s="18"/>
    </row>
    <row r="77" spans="1:5" x14ac:dyDescent="0.2">
      <c r="C77" s="39"/>
      <c r="D77" s="18"/>
    </row>
    <row r="78" spans="1:5" x14ac:dyDescent="0.2">
      <c r="C78" s="39"/>
      <c r="D78" s="18"/>
    </row>
    <row r="79" spans="1:5" x14ac:dyDescent="0.2">
      <c r="C79" s="39"/>
      <c r="D79" s="18"/>
    </row>
    <row r="80" spans="1:5" x14ac:dyDescent="0.2">
      <c r="C80" s="39"/>
      <c r="D80" s="18"/>
    </row>
    <row r="81" spans="3:4" x14ac:dyDescent="0.2">
      <c r="C81" s="39"/>
      <c r="D81" s="18"/>
    </row>
    <row r="82" spans="3:4" x14ac:dyDescent="0.2">
      <c r="C82" s="39"/>
      <c r="D82" s="18"/>
    </row>
    <row r="83" spans="3:4" x14ac:dyDescent="0.2">
      <c r="C83" s="39"/>
      <c r="D83" s="18"/>
    </row>
    <row r="84" spans="3:4" x14ac:dyDescent="0.2">
      <c r="C84" s="39"/>
      <c r="D84" s="18"/>
    </row>
    <row r="85" spans="3:4" x14ac:dyDescent="0.2">
      <c r="C85" s="39"/>
      <c r="D85" s="18"/>
    </row>
    <row r="86" spans="3:4" x14ac:dyDescent="0.2">
      <c r="C86" s="39"/>
      <c r="D86" s="18"/>
    </row>
    <row r="87" spans="3:4" x14ac:dyDescent="0.2">
      <c r="C87" s="39"/>
      <c r="D87" s="18"/>
    </row>
    <row r="88" spans="3:4" x14ac:dyDescent="0.2">
      <c r="C88" s="39"/>
      <c r="D88" s="18"/>
    </row>
    <row r="89" spans="3:4" x14ac:dyDescent="0.2">
      <c r="C89" s="39"/>
      <c r="D89" s="18"/>
    </row>
    <row r="90" spans="3:4" x14ac:dyDescent="0.2">
      <c r="C90" s="39"/>
      <c r="D90" s="18"/>
    </row>
    <row r="91" spans="3:4" x14ac:dyDescent="0.2">
      <c r="C91" s="39"/>
      <c r="D91" s="18"/>
    </row>
    <row r="92" spans="3:4" x14ac:dyDescent="0.2">
      <c r="C92" s="39"/>
      <c r="D92" s="18"/>
    </row>
    <row r="93" spans="3:4" x14ac:dyDescent="0.2">
      <c r="C93" s="39"/>
      <c r="D93" s="18"/>
    </row>
    <row r="94" spans="3:4" x14ac:dyDescent="0.2">
      <c r="C94" s="39"/>
      <c r="D94" s="18"/>
    </row>
    <row r="95" spans="3:4" x14ac:dyDescent="0.2">
      <c r="C95" s="39"/>
      <c r="D95" s="18"/>
    </row>
    <row r="96" spans="3:4" x14ac:dyDescent="0.2">
      <c r="C96" s="39"/>
      <c r="D96" s="18"/>
    </row>
    <row r="97" spans="3:4" x14ac:dyDescent="0.2">
      <c r="C97" s="39"/>
      <c r="D97" s="18"/>
    </row>
    <row r="98" spans="3:4" x14ac:dyDescent="0.2">
      <c r="C98" s="39"/>
      <c r="D98" s="18"/>
    </row>
  </sheetData>
  <mergeCells count="2">
    <mergeCell ref="A1:D1"/>
    <mergeCell ref="A2:D2"/>
  </mergeCells>
  <phoneticPr fontId="0" type="noConversion"/>
  <pageMargins left="1.1811023622047245" right="0.75" top="1.1811023622047245" bottom="0.59055118110236227" header="0" footer="0"/>
  <pageSetup paperSize="9" scale="76" orientation="portrait" verticalDpi="12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G80"/>
  <sheetViews>
    <sheetView showGridLines="0" workbookViewId="0">
      <selection activeCell="F18" sqref="F18"/>
    </sheetView>
  </sheetViews>
  <sheetFormatPr baseColWidth="10" defaultRowHeight="12.75" x14ac:dyDescent="0.2"/>
  <cols>
    <col min="1" max="1" width="10.42578125" bestFit="1" customWidth="1"/>
    <col min="2" max="2" width="45.5703125" customWidth="1"/>
    <col min="3" max="3" width="10.85546875" style="35" bestFit="1" customWidth="1"/>
    <col min="4" max="4" width="10.5703125" customWidth="1"/>
  </cols>
  <sheetData>
    <row r="1" spans="1:7" ht="18.75" x14ac:dyDescent="0.2">
      <c r="A1" s="540" t="s">
        <v>406</v>
      </c>
      <c r="B1" s="541"/>
      <c r="C1" s="541"/>
      <c r="D1" s="541"/>
    </row>
    <row r="2" spans="1:7" ht="15" x14ac:dyDescent="0.2">
      <c r="A2" s="539" t="s">
        <v>931</v>
      </c>
      <c r="B2" s="539"/>
      <c r="C2" s="539"/>
      <c r="D2" s="539"/>
    </row>
    <row r="3" spans="1:7" ht="15" x14ac:dyDescent="0.2">
      <c r="A3" s="333">
        <v>1</v>
      </c>
      <c r="B3" s="481" t="s">
        <v>4</v>
      </c>
      <c r="C3" s="352"/>
      <c r="D3" s="352"/>
    </row>
    <row r="4" spans="1:7" ht="15.75" customHeight="1" x14ac:dyDescent="0.2">
      <c r="A4" s="483">
        <v>1.2</v>
      </c>
      <c r="B4" s="345" t="s">
        <v>416</v>
      </c>
      <c r="C4" s="352"/>
      <c r="D4" s="352"/>
      <c r="E4" s="4"/>
      <c r="F4" s="4"/>
      <c r="G4" s="4"/>
    </row>
    <row r="5" spans="1:7" x14ac:dyDescent="0.2">
      <c r="A5" s="483" t="s">
        <v>428</v>
      </c>
      <c r="B5" s="345" t="s">
        <v>429</v>
      </c>
      <c r="C5" s="353"/>
      <c r="D5" s="353"/>
      <c r="E5" s="4"/>
      <c r="F5" s="4"/>
      <c r="G5" s="4"/>
    </row>
    <row r="6" spans="1:7" x14ac:dyDescent="0.2">
      <c r="A6" s="21" t="s">
        <v>5</v>
      </c>
      <c r="B6" s="21" t="s">
        <v>6</v>
      </c>
      <c r="C6" s="132" t="s">
        <v>400</v>
      </c>
      <c r="D6" s="33" t="s">
        <v>7</v>
      </c>
      <c r="E6" s="18"/>
      <c r="F6" s="18"/>
      <c r="G6" s="4"/>
    </row>
    <row r="7" spans="1:7" x14ac:dyDescent="0.2">
      <c r="A7" s="30"/>
      <c r="B7" s="15"/>
      <c r="C7" s="126"/>
      <c r="D7" s="33"/>
      <c r="E7" s="4"/>
      <c r="F7" s="4"/>
      <c r="G7" s="4"/>
    </row>
    <row r="8" spans="1:7" x14ac:dyDescent="0.2">
      <c r="A8" s="54"/>
      <c r="B8" s="56" t="s">
        <v>7</v>
      </c>
      <c r="C8" s="40">
        <f>SUM(C9:C78)</f>
        <v>195961.04</v>
      </c>
      <c r="D8" s="40">
        <f>D9+D66+D74</f>
        <v>195961.03999999998</v>
      </c>
      <c r="E8" s="208"/>
      <c r="F8" s="209"/>
      <c r="G8" s="4"/>
    </row>
    <row r="9" spans="1:7" x14ac:dyDescent="0.2">
      <c r="A9" s="54">
        <v>5</v>
      </c>
      <c r="B9" s="56" t="s">
        <v>8</v>
      </c>
      <c r="C9" s="40"/>
      <c r="D9" s="40">
        <f>+D10+D34+D63</f>
        <v>180761.03999999998</v>
      </c>
      <c r="E9" s="4"/>
      <c r="F9" s="4"/>
      <c r="G9" s="4"/>
    </row>
    <row r="10" spans="1:7" x14ac:dyDescent="0.2">
      <c r="A10" s="42">
        <v>5.0999999999999996</v>
      </c>
      <c r="B10" s="43" t="s">
        <v>9</v>
      </c>
      <c r="C10" s="40"/>
      <c r="D10" s="40">
        <f>+D11+D15+D18+D21+D24+D29</f>
        <v>61526.039999999994</v>
      </c>
      <c r="E10" s="4"/>
      <c r="F10" s="4"/>
      <c r="G10" s="4"/>
    </row>
    <row r="11" spans="1:7" x14ac:dyDescent="0.2">
      <c r="A11" s="42" t="s">
        <v>10</v>
      </c>
      <c r="B11" s="43" t="s">
        <v>11</v>
      </c>
      <c r="C11" s="44"/>
      <c r="D11" s="44">
        <f>SUM(C12:C14)</f>
        <v>43970.28</v>
      </c>
      <c r="E11" s="4"/>
      <c r="F11" s="4"/>
      <c r="G11" s="4"/>
    </row>
    <row r="12" spans="1:7" x14ac:dyDescent="0.2">
      <c r="A12" s="45" t="s">
        <v>251</v>
      </c>
      <c r="B12" s="46" t="s">
        <v>762</v>
      </c>
      <c r="C12" s="47"/>
      <c r="D12" s="47"/>
      <c r="E12" s="4"/>
      <c r="F12" s="4"/>
      <c r="G12" s="4"/>
    </row>
    <row r="13" spans="1:7" x14ac:dyDescent="0.2">
      <c r="A13" s="45" t="s">
        <v>183</v>
      </c>
      <c r="B13" s="46" t="s">
        <v>763</v>
      </c>
      <c r="C13" s="47">
        <v>21768</v>
      </c>
      <c r="D13" s="47"/>
      <c r="E13" s="18"/>
      <c r="F13" s="4"/>
      <c r="G13" s="4"/>
    </row>
    <row r="14" spans="1:7" x14ac:dyDescent="0.2">
      <c r="A14" s="45" t="s">
        <v>760</v>
      </c>
      <c r="B14" s="46" t="s">
        <v>835</v>
      </c>
      <c r="C14" s="47">
        <v>22202.28</v>
      </c>
      <c r="D14" s="44"/>
      <c r="E14" s="467"/>
      <c r="F14" s="4"/>
      <c r="G14" s="4"/>
    </row>
    <row r="15" spans="1:7" x14ac:dyDescent="0.2">
      <c r="A15" s="42" t="s">
        <v>252</v>
      </c>
      <c r="B15" s="43" t="s">
        <v>253</v>
      </c>
      <c r="C15" s="47"/>
      <c r="D15" s="44">
        <f>SUM(C16:C17)</f>
        <v>5274.59</v>
      </c>
    </row>
    <row r="16" spans="1:7" x14ac:dyDescent="0.2">
      <c r="A16" s="45" t="s">
        <v>254</v>
      </c>
      <c r="B16" s="46" t="s">
        <v>255</v>
      </c>
      <c r="C16" s="47">
        <f>1814+1850.19</f>
        <v>3664.19</v>
      </c>
      <c r="D16" s="47"/>
    </row>
    <row r="17" spans="1:4" x14ac:dyDescent="0.2">
      <c r="A17" s="45" t="s">
        <v>256</v>
      </c>
      <c r="B17" s="46" t="s">
        <v>257</v>
      </c>
      <c r="C17" s="47">
        <f>402.6+1207.8</f>
        <v>1610.4</v>
      </c>
      <c r="D17" s="44"/>
    </row>
    <row r="18" spans="1:4" x14ac:dyDescent="0.2">
      <c r="A18" s="54" t="s">
        <v>349</v>
      </c>
      <c r="B18" s="56" t="s">
        <v>350</v>
      </c>
      <c r="C18" s="47"/>
      <c r="D18" s="44">
        <f>SUM(C19:C20)</f>
        <v>2520</v>
      </c>
    </row>
    <row r="19" spans="1:4" x14ac:dyDescent="0.2">
      <c r="A19" s="57" t="s">
        <v>508</v>
      </c>
      <c r="B19" s="58" t="s">
        <v>509</v>
      </c>
      <c r="C19" s="47">
        <v>360</v>
      </c>
      <c r="D19" s="44"/>
    </row>
    <row r="20" spans="1:4" x14ac:dyDescent="0.2">
      <c r="A20" s="57" t="s">
        <v>351</v>
      </c>
      <c r="B20" s="58" t="s">
        <v>830</v>
      </c>
      <c r="C20" s="47">
        <v>2160</v>
      </c>
      <c r="D20" s="47"/>
    </row>
    <row r="21" spans="1:4" x14ac:dyDescent="0.2">
      <c r="A21" s="42" t="s">
        <v>184</v>
      </c>
      <c r="B21" s="59" t="s">
        <v>185</v>
      </c>
      <c r="C21" s="47"/>
      <c r="D21" s="44">
        <f>SUM(C22:C23)</f>
        <v>863.43</v>
      </c>
    </row>
    <row r="22" spans="1:4" x14ac:dyDescent="0.2">
      <c r="A22" s="45" t="s">
        <v>277</v>
      </c>
      <c r="B22" s="60" t="s">
        <v>719</v>
      </c>
      <c r="C22" s="47">
        <v>289.87</v>
      </c>
      <c r="D22" s="44"/>
    </row>
    <row r="23" spans="1:4" x14ac:dyDescent="0.2">
      <c r="A23" s="45" t="s">
        <v>479</v>
      </c>
      <c r="B23" s="46" t="s">
        <v>480</v>
      </c>
      <c r="C23" s="48">
        <v>573.55999999999995</v>
      </c>
      <c r="D23" s="49"/>
    </row>
    <row r="24" spans="1:4" x14ac:dyDescent="0.2">
      <c r="A24" s="42" t="s">
        <v>187</v>
      </c>
      <c r="B24" s="43" t="s">
        <v>186</v>
      </c>
      <c r="C24" s="47"/>
      <c r="D24" s="44">
        <f>SUM(C26:C28)</f>
        <v>0</v>
      </c>
    </row>
    <row r="25" spans="1:4" x14ac:dyDescent="0.2">
      <c r="A25" s="42" t="s">
        <v>766</v>
      </c>
      <c r="B25" s="43" t="s">
        <v>829</v>
      </c>
      <c r="C25" s="48"/>
      <c r="D25" s="49"/>
    </row>
    <row r="26" spans="1:4" x14ac:dyDescent="0.2">
      <c r="A26" s="45" t="s">
        <v>258</v>
      </c>
      <c r="B26" s="46" t="s">
        <v>259</v>
      </c>
      <c r="C26" s="48"/>
      <c r="D26" s="49"/>
    </row>
    <row r="27" spans="1:4" x14ac:dyDescent="0.2">
      <c r="A27" s="45" t="s">
        <v>769</v>
      </c>
      <c r="B27" s="46" t="s">
        <v>676</v>
      </c>
      <c r="C27" s="48"/>
      <c r="D27" s="49"/>
    </row>
    <row r="28" spans="1:4" x14ac:dyDescent="0.2">
      <c r="A28" s="45" t="s">
        <v>542</v>
      </c>
      <c r="B28" s="46" t="s">
        <v>543</v>
      </c>
      <c r="C28" s="48"/>
      <c r="D28" s="49"/>
    </row>
    <row r="29" spans="1:4" x14ac:dyDescent="0.2">
      <c r="A29" s="42" t="s">
        <v>12</v>
      </c>
      <c r="B29" s="43" t="s">
        <v>13</v>
      </c>
      <c r="C29" s="48"/>
      <c r="D29" s="216">
        <f>SUM(C30:C31)</f>
        <v>8897.74</v>
      </c>
    </row>
    <row r="30" spans="1:4" x14ac:dyDescent="0.2">
      <c r="A30" s="45" t="s">
        <v>260</v>
      </c>
      <c r="B30" s="46" t="s">
        <v>261</v>
      </c>
      <c r="C30" s="48">
        <f>2535.97+2697.58</f>
        <v>5233.5499999999993</v>
      </c>
      <c r="D30" s="49"/>
    </row>
    <row r="31" spans="1:4" x14ac:dyDescent="0.2">
      <c r="A31" s="45" t="s">
        <v>510</v>
      </c>
      <c r="B31" s="46" t="s">
        <v>700</v>
      </c>
      <c r="C31" s="48">
        <f>1814+1850.19</f>
        <v>3664.19</v>
      </c>
      <c r="D31" s="49"/>
    </row>
    <row r="32" spans="1:4" x14ac:dyDescent="0.2">
      <c r="A32" s="42" t="s">
        <v>302</v>
      </c>
      <c r="B32" s="43" t="s">
        <v>303</v>
      </c>
      <c r="C32" s="48"/>
      <c r="D32" s="49"/>
    </row>
    <row r="33" spans="1:5" x14ac:dyDescent="0.2">
      <c r="A33" s="45" t="s">
        <v>768</v>
      </c>
      <c r="B33" s="46" t="s">
        <v>776</v>
      </c>
      <c r="C33" s="48"/>
      <c r="D33" s="49"/>
    </row>
    <row r="34" spans="1:5" x14ac:dyDescent="0.2">
      <c r="A34" s="54">
        <v>5.3</v>
      </c>
      <c r="B34" s="56" t="s">
        <v>14</v>
      </c>
      <c r="C34" s="40"/>
      <c r="D34" s="40">
        <f>+D35+D47+D50+D57+D40+D53+D55</f>
        <v>107235</v>
      </c>
    </row>
    <row r="35" spans="1:5" x14ac:dyDescent="0.2">
      <c r="A35" s="54" t="s">
        <v>15</v>
      </c>
      <c r="B35" s="56" t="s">
        <v>16</v>
      </c>
      <c r="C35" s="40"/>
      <c r="D35" s="40">
        <f>SUM(C36:C39)</f>
        <v>15000</v>
      </c>
    </row>
    <row r="36" spans="1:5" x14ac:dyDescent="0.2">
      <c r="A36" s="45" t="s">
        <v>497</v>
      </c>
      <c r="B36" s="46" t="s">
        <v>403</v>
      </c>
      <c r="C36" s="47">
        <v>5000</v>
      </c>
      <c r="D36" s="40"/>
      <c r="E36" s="205"/>
    </row>
    <row r="37" spans="1:5" x14ac:dyDescent="0.2">
      <c r="A37" s="57" t="s">
        <v>17</v>
      </c>
      <c r="B37" s="58" t="s">
        <v>18</v>
      </c>
      <c r="C37" s="41">
        <v>8000</v>
      </c>
      <c r="D37" s="41"/>
      <c r="E37" s="13"/>
    </row>
    <row r="38" spans="1:5" x14ac:dyDescent="0.2">
      <c r="A38" s="57" t="s">
        <v>19</v>
      </c>
      <c r="B38" s="58" t="s">
        <v>463</v>
      </c>
      <c r="C38" s="41">
        <v>2000</v>
      </c>
      <c r="D38" s="41"/>
    </row>
    <row r="39" spans="1:5" x14ac:dyDescent="0.2">
      <c r="A39" s="57" t="s">
        <v>21</v>
      </c>
      <c r="B39" s="58" t="s">
        <v>244</v>
      </c>
      <c r="C39" s="41">
        <f>100-100</f>
        <v>0</v>
      </c>
      <c r="D39" s="41"/>
    </row>
    <row r="40" spans="1:5" x14ac:dyDescent="0.2">
      <c r="A40" s="42" t="s">
        <v>23</v>
      </c>
      <c r="B40" s="43" t="s">
        <v>4</v>
      </c>
      <c r="C40" s="44" t="s">
        <v>147</v>
      </c>
      <c r="D40" s="44">
        <f>SUM(C41:C46)</f>
        <v>82000</v>
      </c>
    </row>
    <row r="41" spans="1:5" ht="38.25" customHeight="1" x14ac:dyDescent="0.2">
      <c r="A41" s="52" t="s">
        <v>26</v>
      </c>
      <c r="B41" s="46" t="s">
        <v>548</v>
      </c>
      <c r="C41" s="53">
        <v>0</v>
      </c>
      <c r="D41" s="44"/>
    </row>
    <row r="42" spans="1:5" x14ac:dyDescent="0.2">
      <c r="A42" s="45" t="s">
        <v>544</v>
      </c>
      <c r="B42" s="46" t="s">
        <v>545</v>
      </c>
      <c r="C42" s="47">
        <v>4000</v>
      </c>
      <c r="D42" s="44"/>
      <c r="E42" s="139"/>
    </row>
    <row r="43" spans="1:5" x14ac:dyDescent="0.2">
      <c r="A43" s="45" t="s">
        <v>28</v>
      </c>
      <c r="B43" s="46" t="s">
        <v>735</v>
      </c>
      <c r="C43" s="47">
        <v>0</v>
      </c>
      <c r="D43" s="44"/>
      <c r="E43" s="139"/>
    </row>
    <row r="44" spans="1:5" x14ac:dyDescent="0.2">
      <c r="A44" s="45" t="s">
        <v>29</v>
      </c>
      <c r="B44" s="46" t="s">
        <v>489</v>
      </c>
      <c r="C44" s="47">
        <v>3000</v>
      </c>
      <c r="D44" s="44"/>
    </row>
    <row r="45" spans="1:5" x14ac:dyDescent="0.2">
      <c r="A45" s="45" t="s">
        <v>361</v>
      </c>
      <c r="B45" s="46" t="s">
        <v>362</v>
      </c>
      <c r="C45" s="47">
        <v>30000</v>
      </c>
      <c r="D45" s="47"/>
      <c r="E45" s="205"/>
    </row>
    <row r="46" spans="1:5" ht="22.5" x14ac:dyDescent="0.2">
      <c r="A46" s="52" t="s">
        <v>363</v>
      </c>
      <c r="B46" s="199" t="s">
        <v>546</v>
      </c>
      <c r="C46" s="47">
        <v>45000</v>
      </c>
      <c r="D46" s="47"/>
      <c r="E46" s="205"/>
    </row>
    <row r="47" spans="1:5" x14ac:dyDescent="0.2">
      <c r="A47" s="54" t="s">
        <v>33</v>
      </c>
      <c r="B47" s="56" t="s">
        <v>34</v>
      </c>
      <c r="C47" s="40"/>
      <c r="D47" s="40">
        <f>+C48+C49</f>
        <v>0</v>
      </c>
    </row>
    <row r="48" spans="1:5" x14ac:dyDescent="0.2">
      <c r="A48" s="57" t="s">
        <v>35</v>
      </c>
      <c r="B48" s="58" t="s">
        <v>36</v>
      </c>
      <c r="C48" s="41">
        <f>100-100</f>
        <v>0</v>
      </c>
      <c r="D48" s="41"/>
    </row>
    <row r="49" spans="1:5" x14ac:dyDescent="0.2">
      <c r="A49" s="57" t="s">
        <v>37</v>
      </c>
      <c r="B49" s="58" t="s">
        <v>38</v>
      </c>
      <c r="C49" s="41">
        <f>100-100</f>
        <v>0</v>
      </c>
      <c r="D49" s="41"/>
    </row>
    <row r="50" spans="1:5" x14ac:dyDescent="0.2">
      <c r="A50" s="42" t="s">
        <v>39</v>
      </c>
      <c r="B50" s="43" t="s">
        <v>40</v>
      </c>
      <c r="C50" s="44"/>
      <c r="D50" s="44">
        <f>+C52</f>
        <v>3500</v>
      </c>
    </row>
    <row r="51" spans="1:5" ht="22.5" x14ac:dyDescent="0.2">
      <c r="A51" s="52" t="s">
        <v>200</v>
      </c>
      <c r="B51" s="46" t="s">
        <v>547</v>
      </c>
      <c r="C51" s="47">
        <v>0</v>
      </c>
      <c r="D51" s="44"/>
    </row>
    <row r="52" spans="1:5" x14ac:dyDescent="0.2">
      <c r="A52" s="45" t="s">
        <v>43</v>
      </c>
      <c r="B52" s="46" t="s">
        <v>234</v>
      </c>
      <c r="C52" s="47">
        <v>3500</v>
      </c>
      <c r="D52" s="47"/>
    </row>
    <row r="53" spans="1:5" ht="24" x14ac:dyDescent="0.2">
      <c r="A53" s="42" t="s">
        <v>46</v>
      </c>
      <c r="B53" s="156" t="s">
        <v>467</v>
      </c>
      <c r="C53" s="47"/>
      <c r="D53" s="44">
        <f>+C54</f>
        <v>0</v>
      </c>
    </row>
    <row r="54" spans="1:5" x14ac:dyDescent="0.2">
      <c r="A54" s="45" t="s">
        <v>49</v>
      </c>
      <c r="B54" s="46" t="s">
        <v>466</v>
      </c>
      <c r="C54" s="47">
        <v>0</v>
      </c>
      <c r="D54" s="47"/>
    </row>
    <row r="55" spans="1:5" x14ac:dyDescent="0.2">
      <c r="A55" s="42" t="s">
        <v>51</v>
      </c>
      <c r="B55" s="43" t="s">
        <v>52</v>
      </c>
      <c r="C55" s="44"/>
      <c r="D55" s="44">
        <f>+C56</f>
        <v>500</v>
      </c>
    </row>
    <row r="56" spans="1:5" x14ac:dyDescent="0.2">
      <c r="A56" s="45" t="s">
        <v>53</v>
      </c>
      <c r="B56" s="46" t="s">
        <v>54</v>
      </c>
      <c r="C56" s="47">
        <v>500</v>
      </c>
      <c r="D56" s="47"/>
    </row>
    <row r="57" spans="1:5" x14ac:dyDescent="0.2">
      <c r="A57" s="54" t="s">
        <v>55</v>
      </c>
      <c r="B57" s="56" t="s">
        <v>165</v>
      </c>
      <c r="C57" s="40"/>
      <c r="D57" s="40">
        <f>SUM(C58:C62)</f>
        <v>6235</v>
      </c>
    </row>
    <row r="58" spans="1:5" x14ac:dyDescent="0.2">
      <c r="A58" s="57" t="s">
        <v>59</v>
      </c>
      <c r="B58" s="58" t="s">
        <v>60</v>
      </c>
      <c r="C58" s="41">
        <f>228+507</f>
        <v>735</v>
      </c>
      <c r="D58" s="41"/>
    </row>
    <row r="59" spans="1:5" x14ac:dyDescent="0.2">
      <c r="A59" s="57" t="s">
        <v>63</v>
      </c>
      <c r="B59" s="58" t="s">
        <v>64</v>
      </c>
      <c r="C59" s="41">
        <v>500</v>
      </c>
      <c r="D59" s="41"/>
    </row>
    <row r="60" spans="1:5" x14ac:dyDescent="0.2">
      <c r="A60" s="57" t="s">
        <v>65</v>
      </c>
      <c r="B60" s="58" t="s">
        <v>834</v>
      </c>
      <c r="C60" s="41">
        <v>2000</v>
      </c>
      <c r="D60" s="41"/>
      <c r="E60" s="157"/>
    </row>
    <row r="61" spans="1:5" x14ac:dyDescent="0.2">
      <c r="A61" s="57" t="s">
        <v>67</v>
      </c>
      <c r="B61" s="58" t="s">
        <v>68</v>
      </c>
      <c r="C61" s="41">
        <v>0</v>
      </c>
      <c r="D61" s="41"/>
    </row>
    <row r="62" spans="1:5" ht="22.5" x14ac:dyDescent="0.2">
      <c r="A62" s="45" t="s">
        <v>225</v>
      </c>
      <c r="B62" s="46" t="s">
        <v>307</v>
      </c>
      <c r="C62" s="47">
        <v>3000</v>
      </c>
      <c r="D62" s="47"/>
    </row>
    <row r="63" spans="1:5" x14ac:dyDescent="0.2">
      <c r="A63" s="54">
        <v>5.7</v>
      </c>
      <c r="B63" s="56" t="s">
        <v>69</v>
      </c>
      <c r="C63" s="41"/>
      <c r="D63" s="40">
        <f>+D64</f>
        <v>12000</v>
      </c>
    </row>
    <row r="64" spans="1:5" x14ac:dyDescent="0.2">
      <c r="A64" s="54" t="s">
        <v>70</v>
      </c>
      <c r="B64" s="56" t="s">
        <v>113</v>
      </c>
      <c r="C64" s="41"/>
      <c r="D64" s="40">
        <f>+C65</f>
        <v>12000</v>
      </c>
    </row>
    <row r="65" spans="1:6" x14ac:dyDescent="0.2">
      <c r="A65" s="57" t="s">
        <v>114</v>
      </c>
      <c r="B65" s="58" t="s">
        <v>115</v>
      </c>
      <c r="C65" s="41">
        <v>12000</v>
      </c>
      <c r="D65" s="41"/>
    </row>
    <row r="66" spans="1:6" x14ac:dyDescent="0.2">
      <c r="A66" s="54">
        <v>7</v>
      </c>
      <c r="B66" s="59" t="s">
        <v>86</v>
      </c>
      <c r="C66" s="41"/>
      <c r="D66" s="40">
        <f>+D67</f>
        <v>12700</v>
      </c>
    </row>
    <row r="67" spans="1:6" x14ac:dyDescent="0.2">
      <c r="A67" s="42">
        <v>7.5</v>
      </c>
      <c r="B67" s="59" t="s">
        <v>87</v>
      </c>
      <c r="C67" s="41"/>
      <c r="D67" s="40">
        <f>+D68</f>
        <v>12700</v>
      </c>
    </row>
    <row r="68" spans="1:6" x14ac:dyDescent="0.2">
      <c r="A68" s="42" t="s">
        <v>173</v>
      </c>
      <c r="B68" s="59" t="s">
        <v>174</v>
      </c>
      <c r="C68" s="41"/>
      <c r="D68" s="40">
        <f>D69</f>
        <v>12700</v>
      </c>
    </row>
    <row r="69" spans="1:6" x14ac:dyDescent="0.2">
      <c r="A69" s="42" t="s">
        <v>175</v>
      </c>
      <c r="B69" s="59" t="s">
        <v>176</v>
      </c>
      <c r="C69" s="41"/>
      <c r="D69" s="40">
        <f>SUM(C70:C73)</f>
        <v>12700</v>
      </c>
    </row>
    <row r="70" spans="1:6" x14ac:dyDescent="0.2">
      <c r="A70" s="45" t="s">
        <v>223</v>
      </c>
      <c r="B70" s="207" t="s">
        <v>243</v>
      </c>
      <c r="C70" s="41">
        <v>9000</v>
      </c>
      <c r="D70" s="40"/>
      <c r="E70" s="13"/>
    </row>
    <row r="71" spans="1:6" x14ac:dyDescent="0.2">
      <c r="A71" s="45" t="s">
        <v>240</v>
      </c>
      <c r="B71" s="207" t="s">
        <v>344</v>
      </c>
      <c r="C71" s="41">
        <v>1700</v>
      </c>
      <c r="D71" s="40"/>
    </row>
    <row r="72" spans="1:6" x14ac:dyDescent="0.2">
      <c r="A72" s="45" t="s">
        <v>241</v>
      </c>
      <c r="B72" s="207" t="s">
        <v>345</v>
      </c>
      <c r="C72" s="41">
        <v>1000</v>
      </c>
      <c r="D72" s="40"/>
    </row>
    <row r="73" spans="1:6" x14ac:dyDescent="0.2">
      <c r="A73" s="45" t="s">
        <v>274</v>
      </c>
      <c r="B73" s="207" t="s">
        <v>549</v>
      </c>
      <c r="C73" s="41">
        <v>1000</v>
      </c>
      <c r="D73" s="40"/>
    </row>
    <row r="74" spans="1:6" x14ac:dyDescent="0.2">
      <c r="A74" s="42">
        <v>8</v>
      </c>
      <c r="B74" s="43" t="s">
        <v>74</v>
      </c>
      <c r="C74" s="44"/>
      <c r="D74" s="44">
        <f>+D75</f>
        <v>2500</v>
      </c>
    </row>
    <row r="75" spans="1:6" x14ac:dyDescent="0.2">
      <c r="A75" s="42">
        <v>8.4</v>
      </c>
      <c r="B75" s="43" t="s">
        <v>75</v>
      </c>
      <c r="C75" s="44"/>
      <c r="D75" s="44">
        <f>+D76</f>
        <v>2500</v>
      </c>
    </row>
    <row r="76" spans="1:6" x14ac:dyDescent="0.2">
      <c r="A76" s="42" t="s">
        <v>76</v>
      </c>
      <c r="B76" s="43" t="s">
        <v>77</v>
      </c>
      <c r="C76" s="44"/>
      <c r="D76" s="44">
        <f>SUM(C77:C78)</f>
        <v>2500</v>
      </c>
    </row>
    <row r="77" spans="1:6" x14ac:dyDescent="0.2">
      <c r="A77" s="57" t="s">
        <v>301</v>
      </c>
      <c r="B77" s="58" t="s">
        <v>550</v>
      </c>
      <c r="C77" s="47">
        <v>2500</v>
      </c>
      <c r="D77" s="47"/>
    </row>
    <row r="78" spans="1:6" s="34" customFormat="1" x14ac:dyDescent="0.2">
      <c r="A78" s="52" t="s">
        <v>276</v>
      </c>
      <c r="B78" s="46" t="s">
        <v>888</v>
      </c>
      <c r="C78" s="53"/>
      <c r="D78" s="53"/>
      <c r="E78" s="158"/>
      <c r="F78" s="159"/>
    </row>
    <row r="80" spans="1:6" x14ac:dyDescent="0.2">
      <c r="C80" s="39">
        <f>SUM(C9:C78)</f>
        <v>195961.04</v>
      </c>
    </row>
  </sheetData>
  <mergeCells count="2">
    <mergeCell ref="A1:D1"/>
    <mergeCell ref="A2:D2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G167"/>
  <sheetViews>
    <sheetView workbookViewId="0">
      <selection activeCell="C11" sqref="C11"/>
    </sheetView>
  </sheetViews>
  <sheetFormatPr baseColWidth="10" defaultRowHeight="12.75" x14ac:dyDescent="0.2"/>
  <cols>
    <col min="1" max="1" width="11.42578125" style="6"/>
    <col min="2" max="2" width="51" style="170" customWidth="1"/>
  </cols>
  <sheetData>
    <row r="1" spans="1:7" ht="18.75" x14ac:dyDescent="0.2">
      <c r="A1" s="538" t="s">
        <v>406</v>
      </c>
      <c r="B1" s="538"/>
      <c r="C1" s="538"/>
      <c r="D1" s="538"/>
    </row>
    <row r="2" spans="1:7" ht="15" x14ac:dyDescent="0.2">
      <c r="A2" s="545" t="s">
        <v>932</v>
      </c>
      <c r="B2" s="545"/>
      <c r="C2" s="545"/>
      <c r="D2" s="545"/>
      <c r="E2" s="4"/>
      <c r="F2" s="4"/>
    </row>
    <row r="3" spans="1:7" x14ac:dyDescent="0.2">
      <c r="A3" s="484">
        <v>1</v>
      </c>
      <c r="B3" s="485" t="s">
        <v>4</v>
      </c>
      <c r="C3" s="337" t="s">
        <v>147</v>
      </c>
      <c r="D3" s="337"/>
      <c r="E3" s="175"/>
      <c r="F3" s="175"/>
      <c r="G3" s="173"/>
    </row>
    <row r="4" spans="1:7" x14ac:dyDescent="0.2">
      <c r="A4" s="336">
        <v>1.2</v>
      </c>
      <c r="B4" s="485" t="s">
        <v>81</v>
      </c>
      <c r="C4" s="337"/>
      <c r="D4" s="334"/>
      <c r="E4" s="175"/>
      <c r="F4" s="175"/>
      <c r="G4" s="173"/>
    </row>
    <row r="5" spans="1:7" x14ac:dyDescent="0.2">
      <c r="A5" s="336" t="s">
        <v>761</v>
      </c>
      <c r="B5" s="546" t="s">
        <v>506</v>
      </c>
      <c r="C5" s="546"/>
      <c r="D5" s="546"/>
      <c r="E5" s="175"/>
      <c r="F5" s="175"/>
      <c r="G5" s="173"/>
    </row>
    <row r="6" spans="1:7" x14ac:dyDescent="0.2">
      <c r="A6" s="63" t="s">
        <v>5</v>
      </c>
      <c r="B6" s="195" t="s">
        <v>6</v>
      </c>
      <c r="C6" s="384" t="s">
        <v>507</v>
      </c>
      <c r="D6" s="384" t="s">
        <v>7</v>
      </c>
      <c r="E6" s="524"/>
      <c r="F6" s="524"/>
      <c r="G6" s="173"/>
    </row>
    <row r="7" spans="1:7" x14ac:dyDescent="0.2">
      <c r="A7" s="63"/>
      <c r="B7" s="196" t="s">
        <v>7</v>
      </c>
      <c r="C7" s="40">
        <f>SUM(C8:C71)</f>
        <v>253395.65000000002</v>
      </c>
      <c r="D7" s="40">
        <f>+D8+D66</f>
        <v>253395.65000000002</v>
      </c>
      <c r="E7" s="524"/>
      <c r="F7" s="175"/>
      <c r="G7" s="173"/>
    </row>
    <row r="8" spans="1:7" x14ac:dyDescent="0.2">
      <c r="A8" s="63">
        <v>5</v>
      </c>
      <c r="B8" s="196" t="s">
        <v>8</v>
      </c>
      <c r="C8" s="40"/>
      <c r="D8" s="27">
        <f>+D9+D33+D59+D63</f>
        <v>253395.65000000002</v>
      </c>
      <c r="E8" s="175"/>
      <c r="F8" s="175"/>
      <c r="G8" s="173"/>
    </row>
    <row r="9" spans="1:7" x14ac:dyDescent="0.2">
      <c r="A9" s="42">
        <v>5.0999999999999996</v>
      </c>
      <c r="B9" s="43" t="s">
        <v>9</v>
      </c>
      <c r="C9" s="40"/>
      <c r="D9" s="27">
        <f>D10+D14+D17+D20+D23+D28+D31</f>
        <v>211243.65000000002</v>
      </c>
      <c r="E9" s="175"/>
      <c r="F9" s="175"/>
      <c r="G9" s="173"/>
    </row>
    <row r="10" spans="1:7" x14ac:dyDescent="0.2">
      <c r="A10" s="42" t="s">
        <v>10</v>
      </c>
      <c r="B10" s="43" t="s">
        <v>11</v>
      </c>
      <c r="C10" s="40"/>
      <c r="D10" s="27">
        <f>SUM(C11:C13)</f>
        <v>178407.64</v>
      </c>
      <c r="E10" s="175"/>
      <c r="F10" s="175"/>
      <c r="G10" s="173"/>
    </row>
    <row r="11" spans="1:7" s="4" customFormat="1" x14ac:dyDescent="0.2">
      <c r="A11" s="45" t="s">
        <v>251</v>
      </c>
      <c r="B11" s="46" t="s">
        <v>833</v>
      </c>
      <c r="C11" s="41">
        <v>75243.64</v>
      </c>
      <c r="D11" s="41"/>
      <c r="E11" s="175"/>
      <c r="F11" s="175"/>
      <c r="G11" s="175"/>
    </row>
    <row r="12" spans="1:7" s="4" customFormat="1" x14ac:dyDescent="0.2">
      <c r="A12" s="45" t="s">
        <v>183</v>
      </c>
      <c r="B12" s="46" t="s">
        <v>832</v>
      </c>
      <c r="C12" s="41">
        <v>103164</v>
      </c>
      <c r="D12" s="41"/>
      <c r="E12" s="525"/>
      <c r="F12" s="175"/>
      <c r="G12" s="175"/>
    </row>
    <row r="13" spans="1:7" x14ac:dyDescent="0.2">
      <c r="A13" s="45" t="s">
        <v>760</v>
      </c>
      <c r="B13" s="46" t="s">
        <v>831</v>
      </c>
      <c r="C13" s="47"/>
      <c r="D13" s="44"/>
      <c r="E13" s="175"/>
      <c r="F13" s="175"/>
      <c r="G13" s="173"/>
    </row>
    <row r="14" spans="1:7" x14ac:dyDescent="0.2">
      <c r="A14" s="42" t="s">
        <v>252</v>
      </c>
      <c r="B14" s="43" t="s">
        <v>253</v>
      </c>
      <c r="C14" s="47"/>
      <c r="D14" s="44">
        <f>SUM(C15:C16)</f>
        <v>12220.4</v>
      </c>
      <c r="E14" s="175"/>
      <c r="F14" s="175"/>
      <c r="G14" s="173"/>
    </row>
    <row r="15" spans="1:7" x14ac:dyDescent="0.2">
      <c r="A15" s="45" t="s">
        <v>254</v>
      </c>
      <c r="B15" s="46" t="s">
        <v>255</v>
      </c>
      <c r="C15" s="47">
        <f>8597</f>
        <v>8597</v>
      </c>
      <c r="D15" s="47"/>
      <c r="E15" s="173"/>
      <c r="F15" s="173"/>
      <c r="G15" s="173"/>
    </row>
    <row r="16" spans="1:7" x14ac:dyDescent="0.2">
      <c r="A16" s="45" t="s">
        <v>256</v>
      </c>
      <c r="B16" s="46" t="s">
        <v>257</v>
      </c>
      <c r="C16" s="47">
        <f>3623.4</f>
        <v>3623.4</v>
      </c>
      <c r="D16" s="44"/>
      <c r="E16" s="173"/>
      <c r="F16" s="173"/>
      <c r="G16" s="173"/>
    </row>
    <row r="17" spans="1:7" x14ac:dyDescent="0.2">
      <c r="A17" s="54" t="s">
        <v>349</v>
      </c>
      <c r="B17" s="56" t="s">
        <v>350</v>
      </c>
      <c r="C17" s="47"/>
      <c r="D17" s="44">
        <f>SUM(C18:C19)</f>
        <v>0</v>
      </c>
      <c r="E17" s="173"/>
      <c r="F17" s="173"/>
      <c r="G17" s="173"/>
    </row>
    <row r="18" spans="1:7" x14ac:dyDescent="0.2">
      <c r="A18" s="57" t="s">
        <v>508</v>
      </c>
      <c r="B18" s="58" t="s">
        <v>509</v>
      </c>
      <c r="C18" s="47"/>
      <c r="D18" s="47"/>
      <c r="E18" s="173"/>
      <c r="F18" s="173"/>
      <c r="G18" s="173"/>
    </row>
    <row r="19" spans="1:7" x14ac:dyDescent="0.2">
      <c r="A19" s="57" t="s">
        <v>351</v>
      </c>
      <c r="B19" s="58" t="s">
        <v>830</v>
      </c>
      <c r="C19" s="47"/>
      <c r="D19" s="44"/>
      <c r="E19" s="173"/>
      <c r="F19" s="173"/>
      <c r="G19" s="173"/>
    </row>
    <row r="20" spans="1:7" x14ac:dyDescent="0.2">
      <c r="A20" s="42" t="s">
        <v>184</v>
      </c>
      <c r="B20" s="59" t="s">
        <v>185</v>
      </c>
      <c r="C20" s="47"/>
      <c r="D20" s="44">
        <f>SUM(C21:C22)</f>
        <v>0</v>
      </c>
      <c r="E20" s="173"/>
      <c r="F20" s="173"/>
      <c r="G20" s="173"/>
    </row>
    <row r="21" spans="1:7" x14ac:dyDescent="0.2">
      <c r="A21" s="45" t="s">
        <v>277</v>
      </c>
      <c r="B21" s="60" t="s">
        <v>719</v>
      </c>
      <c r="C21" s="47"/>
      <c r="D21" s="47"/>
      <c r="E21" s="173"/>
      <c r="F21" s="173"/>
      <c r="G21" s="173"/>
    </row>
    <row r="22" spans="1:7" x14ac:dyDescent="0.2">
      <c r="A22" s="45" t="s">
        <v>479</v>
      </c>
      <c r="B22" s="46" t="s">
        <v>480</v>
      </c>
      <c r="C22" s="47"/>
      <c r="D22" s="44"/>
      <c r="E22" s="173"/>
      <c r="F22" s="173"/>
      <c r="G22" s="173"/>
    </row>
    <row r="23" spans="1:7" x14ac:dyDescent="0.2">
      <c r="A23" s="42" t="s">
        <v>187</v>
      </c>
      <c r="B23" s="43" t="s">
        <v>186</v>
      </c>
      <c r="C23" s="48"/>
      <c r="D23" s="216">
        <f>SUM(C24:C27)</f>
        <v>0</v>
      </c>
      <c r="E23" s="173"/>
      <c r="F23" s="173"/>
      <c r="G23" s="173"/>
    </row>
    <row r="24" spans="1:7" x14ac:dyDescent="0.2">
      <c r="A24" s="42" t="s">
        <v>766</v>
      </c>
      <c r="B24" s="43" t="s">
        <v>829</v>
      </c>
      <c r="C24" s="48"/>
      <c r="D24" s="49"/>
      <c r="E24" s="173"/>
      <c r="F24" s="173"/>
      <c r="G24" s="173"/>
    </row>
    <row r="25" spans="1:7" x14ac:dyDescent="0.2">
      <c r="A25" s="45" t="s">
        <v>258</v>
      </c>
      <c r="B25" s="46" t="s">
        <v>259</v>
      </c>
      <c r="C25" s="48"/>
      <c r="D25" s="49"/>
      <c r="E25" s="173"/>
      <c r="F25" s="173"/>
      <c r="G25" s="173"/>
    </row>
    <row r="26" spans="1:7" x14ac:dyDescent="0.2">
      <c r="A26" s="45" t="s">
        <v>769</v>
      </c>
      <c r="B26" s="46" t="s">
        <v>676</v>
      </c>
      <c r="C26" s="48"/>
      <c r="D26" s="49"/>
      <c r="E26" s="173"/>
      <c r="F26" s="173"/>
      <c r="G26" s="173"/>
    </row>
    <row r="27" spans="1:7" x14ac:dyDescent="0.2">
      <c r="A27" s="45" t="s">
        <v>542</v>
      </c>
      <c r="B27" s="46" t="s">
        <v>543</v>
      </c>
      <c r="C27" s="48"/>
      <c r="D27" s="49"/>
      <c r="E27" s="173"/>
      <c r="F27" s="173"/>
      <c r="G27" s="173"/>
    </row>
    <row r="28" spans="1:7" x14ac:dyDescent="0.2">
      <c r="A28" s="42" t="s">
        <v>12</v>
      </c>
      <c r="B28" s="43" t="s">
        <v>13</v>
      </c>
      <c r="C28" s="48"/>
      <c r="D28" s="216">
        <f>SUM(C29:C30)</f>
        <v>20615.61</v>
      </c>
      <c r="E28" s="173"/>
      <c r="F28" s="173"/>
      <c r="G28" s="173"/>
    </row>
    <row r="29" spans="1:7" x14ac:dyDescent="0.2">
      <c r="A29" s="45" t="s">
        <v>260</v>
      </c>
      <c r="B29" s="46" t="s">
        <v>261</v>
      </c>
      <c r="C29" s="48">
        <f>12018.61</f>
        <v>12018.61</v>
      </c>
      <c r="D29" s="227"/>
      <c r="E29" s="173"/>
      <c r="F29" s="173"/>
      <c r="G29" s="173"/>
    </row>
    <row r="30" spans="1:7" x14ac:dyDescent="0.2">
      <c r="A30" s="45" t="s">
        <v>510</v>
      </c>
      <c r="B30" s="46" t="s">
        <v>700</v>
      </c>
      <c r="C30" s="48">
        <f>8597</f>
        <v>8597</v>
      </c>
      <c r="D30" s="227"/>
      <c r="E30" s="173"/>
      <c r="F30" s="173"/>
      <c r="G30" s="173"/>
    </row>
    <row r="31" spans="1:7" x14ac:dyDescent="0.2">
      <c r="A31" s="42" t="s">
        <v>302</v>
      </c>
      <c r="B31" s="43" t="s">
        <v>303</v>
      </c>
      <c r="C31" s="48"/>
      <c r="D31" s="216">
        <f>SUM(C32)</f>
        <v>0</v>
      </c>
      <c r="E31" s="173"/>
      <c r="F31" s="173"/>
      <c r="G31" s="173"/>
    </row>
    <row r="32" spans="1:7" x14ac:dyDescent="0.2">
      <c r="A32" s="45" t="s">
        <v>768</v>
      </c>
      <c r="B32" s="46" t="s">
        <v>776</v>
      </c>
      <c r="C32" s="48"/>
      <c r="D32" s="49"/>
      <c r="E32" s="173"/>
      <c r="F32" s="173"/>
      <c r="G32" s="173"/>
    </row>
    <row r="33" spans="1:7" x14ac:dyDescent="0.2">
      <c r="A33" s="63">
        <v>5.3</v>
      </c>
      <c r="B33" s="196" t="s">
        <v>14</v>
      </c>
      <c r="C33" s="40" t="s">
        <v>147</v>
      </c>
      <c r="D33" s="27">
        <f>+D34+D38+D42+D50+D52+D45+D48</f>
        <v>22152</v>
      </c>
      <c r="E33" s="173"/>
      <c r="F33" s="173"/>
      <c r="G33" s="173"/>
    </row>
    <row r="34" spans="1:7" x14ac:dyDescent="0.2">
      <c r="A34" s="63" t="s">
        <v>15</v>
      </c>
      <c r="B34" s="196" t="s">
        <v>16</v>
      </c>
      <c r="C34" s="40"/>
      <c r="D34" s="27">
        <f>SUM(C35:C37)</f>
        <v>2500</v>
      </c>
      <c r="E34" s="173"/>
      <c r="F34" s="173"/>
      <c r="G34" s="173"/>
    </row>
    <row r="35" spans="1:7" x14ac:dyDescent="0.2">
      <c r="A35" s="197" t="s">
        <v>497</v>
      </c>
      <c r="B35" s="198" t="s">
        <v>403</v>
      </c>
      <c r="C35" s="41">
        <f>150*5</f>
        <v>750</v>
      </c>
      <c r="D35" s="27"/>
      <c r="E35" s="173"/>
      <c r="F35" s="173"/>
      <c r="G35" s="173"/>
    </row>
    <row r="36" spans="1:7" x14ac:dyDescent="0.2">
      <c r="A36" s="197" t="s">
        <v>17</v>
      </c>
      <c r="B36" s="198" t="s">
        <v>511</v>
      </c>
      <c r="C36" s="41">
        <f>150*5</f>
        <v>750</v>
      </c>
      <c r="D36" s="27"/>
      <c r="E36" s="173"/>
      <c r="F36" s="173"/>
      <c r="G36" s="173"/>
    </row>
    <row r="37" spans="1:7" x14ac:dyDescent="0.2">
      <c r="A37" s="197" t="s">
        <v>19</v>
      </c>
      <c r="B37" s="198" t="s">
        <v>512</v>
      </c>
      <c r="C37" s="41">
        <v>1000</v>
      </c>
      <c r="D37" s="130"/>
      <c r="E37" s="173"/>
      <c r="F37" s="173"/>
      <c r="G37" s="173"/>
    </row>
    <row r="38" spans="1:7" x14ac:dyDescent="0.2">
      <c r="A38" s="63" t="s">
        <v>23</v>
      </c>
      <c r="B38" s="196" t="s">
        <v>4</v>
      </c>
      <c r="C38" s="40"/>
      <c r="D38" s="27">
        <f>SUM(C39:C41)</f>
        <v>7000</v>
      </c>
      <c r="E38" s="173"/>
      <c r="F38" s="173"/>
      <c r="G38" s="173"/>
    </row>
    <row r="39" spans="1:7" x14ac:dyDescent="0.2">
      <c r="A39" s="45" t="s">
        <v>26</v>
      </c>
      <c r="B39" s="46" t="s">
        <v>27</v>
      </c>
      <c r="C39" s="41">
        <v>2000</v>
      </c>
      <c r="D39" s="130"/>
      <c r="E39" s="173"/>
      <c r="F39" s="173"/>
      <c r="G39" s="173"/>
    </row>
    <row r="40" spans="1:7" x14ac:dyDescent="0.2">
      <c r="A40" s="197" t="s">
        <v>29</v>
      </c>
      <c r="B40" s="198" t="s">
        <v>30</v>
      </c>
      <c r="C40" s="41">
        <v>1000</v>
      </c>
      <c r="D40" s="130"/>
      <c r="E40" s="173"/>
      <c r="F40" s="173"/>
      <c r="G40" s="173"/>
    </row>
    <row r="41" spans="1:7" x14ac:dyDescent="0.2">
      <c r="A41" s="197" t="s">
        <v>31</v>
      </c>
      <c r="B41" s="198" t="s">
        <v>513</v>
      </c>
      <c r="C41" s="41">
        <v>4000</v>
      </c>
      <c r="D41" s="130"/>
      <c r="E41" s="173"/>
      <c r="F41" s="173"/>
      <c r="G41" s="173"/>
    </row>
    <row r="42" spans="1:7" x14ac:dyDescent="0.2">
      <c r="A42" s="63" t="s">
        <v>33</v>
      </c>
      <c r="B42" s="196" t="s">
        <v>34</v>
      </c>
      <c r="C42" s="40"/>
      <c r="D42" s="27">
        <f>+C43+C44</f>
        <v>2000</v>
      </c>
      <c r="E42" s="173"/>
      <c r="F42" s="173"/>
      <c r="G42" s="173"/>
    </row>
    <row r="43" spans="1:7" x14ac:dyDescent="0.2">
      <c r="A43" s="197" t="s">
        <v>35</v>
      </c>
      <c r="B43" s="198" t="s">
        <v>36</v>
      </c>
      <c r="C43" s="41">
        <v>1000</v>
      </c>
      <c r="D43" s="130"/>
      <c r="E43" s="173"/>
      <c r="F43" s="173"/>
      <c r="G43" s="173"/>
    </row>
    <row r="44" spans="1:7" x14ac:dyDescent="0.2">
      <c r="A44" s="197" t="s">
        <v>37</v>
      </c>
      <c r="B44" s="198" t="s">
        <v>38</v>
      </c>
      <c r="C44" s="41">
        <v>1000</v>
      </c>
      <c r="D44" s="130"/>
      <c r="E44" s="173"/>
      <c r="F44" s="173"/>
      <c r="G44" s="173"/>
    </row>
    <row r="45" spans="1:7" x14ac:dyDescent="0.2">
      <c r="A45" s="42" t="s">
        <v>39</v>
      </c>
      <c r="B45" s="43" t="s">
        <v>40</v>
      </c>
      <c r="C45" s="44"/>
      <c r="D45" s="44">
        <f>SUM(C46:C47)</f>
        <v>3000</v>
      </c>
      <c r="E45" s="173"/>
      <c r="F45" s="173"/>
      <c r="G45" s="173"/>
    </row>
    <row r="46" spans="1:7" x14ac:dyDescent="0.2">
      <c r="A46" s="45" t="s">
        <v>200</v>
      </c>
      <c r="B46" s="46" t="s">
        <v>514</v>
      </c>
      <c r="C46" s="47">
        <v>2000</v>
      </c>
      <c r="D46" s="44"/>
      <c r="E46" s="173"/>
      <c r="F46" s="173"/>
      <c r="G46" s="173"/>
    </row>
    <row r="47" spans="1:7" x14ac:dyDescent="0.2">
      <c r="A47" s="45" t="s">
        <v>41</v>
      </c>
      <c r="B47" s="46" t="s">
        <v>146</v>
      </c>
      <c r="C47" s="47">
        <v>1000</v>
      </c>
      <c r="D47" s="44"/>
      <c r="E47" s="173"/>
      <c r="F47" s="173"/>
      <c r="G47" s="173"/>
    </row>
    <row r="48" spans="1:7" x14ac:dyDescent="0.2">
      <c r="A48" s="63" t="s">
        <v>46</v>
      </c>
      <c r="B48" s="196" t="s">
        <v>47</v>
      </c>
      <c r="C48" s="41"/>
      <c r="D48" s="27">
        <f>+C49</f>
        <v>0</v>
      </c>
      <c r="E48" s="173"/>
      <c r="F48" s="173"/>
      <c r="G48" s="173"/>
    </row>
    <row r="49" spans="1:7" x14ac:dyDescent="0.2">
      <c r="A49" s="197" t="s">
        <v>49</v>
      </c>
      <c r="B49" s="198" t="s">
        <v>50</v>
      </c>
      <c r="C49" s="41"/>
      <c r="D49" s="130"/>
      <c r="E49" s="173"/>
      <c r="F49" s="173"/>
      <c r="G49" s="173"/>
    </row>
    <row r="50" spans="1:7" x14ac:dyDescent="0.2">
      <c r="A50" s="63" t="s">
        <v>51</v>
      </c>
      <c r="B50" s="196" t="s">
        <v>52</v>
      </c>
      <c r="C50" s="40"/>
      <c r="D50" s="27">
        <f>+C51</f>
        <v>0</v>
      </c>
      <c r="E50" s="173"/>
      <c r="F50" s="173"/>
      <c r="G50" s="173"/>
    </row>
    <row r="51" spans="1:7" x14ac:dyDescent="0.2">
      <c r="A51" s="197" t="s">
        <v>53</v>
      </c>
      <c r="B51" s="198" t="s">
        <v>54</v>
      </c>
      <c r="C51" s="41"/>
      <c r="D51" s="130"/>
      <c r="E51" s="173"/>
      <c r="F51" s="173"/>
      <c r="G51" s="173"/>
    </row>
    <row r="52" spans="1:7" x14ac:dyDescent="0.2">
      <c r="A52" s="63" t="s">
        <v>55</v>
      </c>
      <c r="B52" s="196" t="s">
        <v>56</v>
      </c>
      <c r="C52" s="40"/>
      <c r="D52" s="27">
        <f>SUM(C53:C58)</f>
        <v>7652</v>
      </c>
      <c r="E52" s="173"/>
      <c r="F52" s="173"/>
      <c r="G52" s="173"/>
    </row>
    <row r="53" spans="1:7" x14ac:dyDescent="0.2">
      <c r="A53" s="197" t="s">
        <v>59</v>
      </c>
      <c r="B53" s="198" t="s">
        <v>60</v>
      </c>
      <c r="C53" s="41">
        <f>2052</f>
        <v>2052</v>
      </c>
      <c r="D53" s="130"/>
      <c r="E53" s="173"/>
      <c r="F53" s="173"/>
      <c r="G53" s="173"/>
    </row>
    <row r="54" spans="1:7" x14ac:dyDescent="0.2">
      <c r="A54" s="161" t="s">
        <v>63</v>
      </c>
      <c r="B54" s="166" t="s">
        <v>179</v>
      </c>
      <c r="C54" s="41">
        <v>1500</v>
      </c>
      <c r="D54" s="130"/>
      <c r="E54" s="173"/>
      <c r="F54" s="173"/>
      <c r="G54" s="173"/>
    </row>
    <row r="55" spans="1:7" x14ac:dyDescent="0.2">
      <c r="A55" s="161" t="s">
        <v>65</v>
      </c>
      <c r="B55" s="166" t="s">
        <v>636</v>
      </c>
      <c r="C55" s="41">
        <v>600</v>
      </c>
      <c r="D55" s="130"/>
      <c r="E55" s="173"/>
      <c r="F55" s="173"/>
      <c r="G55" s="173"/>
    </row>
    <row r="56" spans="1:7" x14ac:dyDescent="0.2">
      <c r="A56" s="197" t="s">
        <v>67</v>
      </c>
      <c r="B56" s="198" t="s">
        <v>300</v>
      </c>
      <c r="C56" s="41">
        <v>500</v>
      </c>
      <c r="D56" s="130"/>
      <c r="E56" s="173"/>
      <c r="F56" s="173"/>
      <c r="G56" s="173"/>
    </row>
    <row r="57" spans="1:7" x14ac:dyDescent="0.2">
      <c r="A57" s="45" t="s">
        <v>225</v>
      </c>
      <c r="B57" s="46" t="s">
        <v>316</v>
      </c>
      <c r="C57" s="41">
        <v>1000</v>
      </c>
      <c r="D57" s="130"/>
      <c r="E57" s="173"/>
      <c r="F57" s="173"/>
      <c r="G57" s="173"/>
    </row>
    <row r="58" spans="1:7" x14ac:dyDescent="0.2">
      <c r="A58" s="45" t="s">
        <v>715</v>
      </c>
      <c r="B58" s="46" t="s">
        <v>720</v>
      </c>
      <c r="C58" s="41">
        <v>2000</v>
      </c>
      <c r="D58" s="130"/>
      <c r="E58" s="173"/>
      <c r="F58" s="173"/>
      <c r="G58" s="173"/>
    </row>
    <row r="59" spans="1:7" x14ac:dyDescent="0.2">
      <c r="A59" s="54">
        <v>5.7</v>
      </c>
      <c r="B59" s="56" t="s">
        <v>69</v>
      </c>
      <c r="C59" s="41"/>
      <c r="D59" s="27">
        <f>+D60</f>
        <v>0</v>
      </c>
      <c r="E59" s="173"/>
      <c r="F59" s="173"/>
      <c r="G59" s="173"/>
    </row>
    <row r="60" spans="1:7" x14ac:dyDescent="0.2">
      <c r="A60" s="54" t="s">
        <v>70</v>
      </c>
      <c r="B60" s="56" t="s">
        <v>71</v>
      </c>
      <c r="C60" s="41"/>
      <c r="D60" s="130">
        <f>+C61</f>
        <v>0</v>
      </c>
      <c r="E60" s="173"/>
      <c r="F60" s="173"/>
      <c r="G60" s="173"/>
    </row>
    <row r="61" spans="1:7" x14ac:dyDescent="0.2">
      <c r="A61" s="57" t="s">
        <v>114</v>
      </c>
      <c r="B61" s="58" t="s">
        <v>115</v>
      </c>
      <c r="C61" s="41"/>
      <c r="D61" s="130"/>
      <c r="E61" s="173"/>
      <c r="F61" s="173"/>
      <c r="G61" s="173"/>
    </row>
    <row r="62" spans="1:7" x14ac:dyDescent="0.2">
      <c r="A62" s="54">
        <v>5.8</v>
      </c>
      <c r="B62" s="56" t="s">
        <v>90</v>
      </c>
      <c r="C62" s="41"/>
      <c r="D62" s="27">
        <f>+D63</f>
        <v>20000</v>
      </c>
      <c r="E62" s="173"/>
      <c r="F62" s="173"/>
      <c r="G62" s="173"/>
    </row>
    <row r="63" spans="1:7" x14ac:dyDescent="0.2">
      <c r="A63" s="222" t="s">
        <v>91</v>
      </c>
      <c r="B63" s="223" t="s">
        <v>118</v>
      </c>
      <c r="C63" s="41"/>
      <c r="D63" s="27">
        <f>+D64</f>
        <v>20000</v>
      </c>
      <c r="E63" s="173"/>
      <c r="F63" s="173"/>
      <c r="G63" s="173"/>
    </row>
    <row r="64" spans="1:7" x14ac:dyDescent="0.2">
      <c r="A64" s="224" t="s">
        <v>119</v>
      </c>
      <c r="B64" s="225" t="s">
        <v>516</v>
      </c>
      <c r="C64" s="41"/>
      <c r="D64" s="130">
        <f>+C65</f>
        <v>20000</v>
      </c>
      <c r="E64" s="173"/>
      <c r="F64" s="173"/>
      <c r="G64" s="173"/>
    </row>
    <row r="65" spans="1:7" x14ac:dyDescent="0.2">
      <c r="A65" s="57" t="s">
        <v>517</v>
      </c>
      <c r="B65" s="58" t="s">
        <v>518</v>
      </c>
      <c r="C65" s="220">
        <v>20000</v>
      </c>
      <c r="D65" s="130"/>
      <c r="E65" s="173"/>
      <c r="F65" s="173"/>
      <c r="G65" s="173"/>
    </row>
    <row r="66" spans="1:7" x14ac:dyDescent="0.2">
      <c r="A66" s="42">
        <v>8</v>
      </c>
      <c r="B66" s="43" t="s">
        <v>74</v>
      </c>
      <c r="C66" s="44"/>
      <c r="D66" s="44">
        <f>+D67</f>
        <v>0</v>
      </c>
      <c r="E66" s="173"/>
      <c r="F66" s="173"/>
      <c r="G66" s="173"/>
    </row>
    <row r="67" spans="1:7" x14ac:dyDescent="0.2">
      <c r="A67" s="42">
        <v>8.4</v>
      </c>
      <c r="B67" s="43" t="s">
        <v>75</v>
      </c>
      <c r="C67" s="44"/>
      <c r="D67" s="44">
        <f>+D68</f>
        <v>0</v>
      </c>
      <c r="E67" s="173"/>
      <c r="F67" s="173"/>
      <c r="G67" s="173"/>
    </row>
    <row r="68" spans="1:7" x14ac:dyDescent="0.2">
      <c r="A68" s="42" t="s">
        <v>76</v>
      </c>
      <c r="B68" s="43" t="s">
        <v>77</v>
      </c>
      <c r="C68" s="44"/>
      <c r="D68" s="44">
        <f>SUM(C69:C71)</f>
        <v>0</v>
      </c>
      <c r="E68" s="173"/>
      <c r="F68" s="173"/>
      <c r="G68" s="173"/>
    </row>
    <row r="69" spans="1:7" x14ac:dyDescent="0.2">
      <c r="A69" s="45" t="s">
        <v>301</v>
      </c>
      <c r="B69" s="46" t="s">
        <v>515</v>
      </c>
      <c r="C69" s="47"/>
      <c r="D69" s="44"/>
      <c r="E69" s="173"/>
      <c r="F69" s="173"/>
      <c r="G69" s="173"/>
    </row>
    <row r="70" spans="1:7" x14ac:dyDescent="0.2">
      <c r="A70" s="52" t="s">
        <v>276</v>
      </c>
      <c r="B70" s="46" t="s">
        <v>189</v>
      </c>
      <c r="C70" s="47">
        <v>0</v>
      </c>
      <c r="D70" s="44"/>
      <c r="E70" s="173"/>
      <c r="F70" s="173"/>
      <c r="G70" s="173"/>
    </row>
    <row r="71" spans="1:7" x14ac:dyDescent="0.2">
      <c r="A71" s="57" t="s">
        <v>79</v>
      </c>
      <c r="B71" s="58" t="s">
        <v>80</v>
      </c>
      <c r="C71" s="47">
        <v>0</v>
      </c>
      <c r="D71" s="47"/>
      <c r="E71" s="173"/>
      <c r="F71" s="173"/>
      <c r="G71" s="173"/>
    </row>
    <row r="72" spans="1:7" x14ac:dyDescent="0.2">
      <c r="A72" s="176"/>
      <c r="B72" s="177"/>
      <c r="C72" s="232"/>
      <c r="D72" s="174"/>
      <c r="E72" s="173"/>
      <c r="F72" s="173"/>
      <c r="G72" s="173"/>
    </row>
    <row r="73" spans="1:7" x14ac:dyDescent="0.2">
      <c r="A73" s="176"/>
      <c r="B73" s="177"/>
      <c r="C73" s="174"/>
      <c r="D73" s="174"/>
      <c r="E73" s="173"/>
      <c r="F73" s="173"/>
      <c r="G73" s="173"/>
    </row>
    <row r="74" spans="1:7" x14ac:dyDescent="0.2">
      <c r="A74" s="176"/>
      <c r="B74" s="177"/>
      <c r="C74" s="174">
        <f>SUM(C8:C71)</f>
        <v>253395.65000000002</v>
      </c>
      <c r="D74" s="174"/>
      <c r="E74" s="173"/>
      <c r="F74" s="173"/>
      <c r="G74" s="173"/>
    </row>
    <row r="75" spans="1:7" ht="18.75" x14ac:dyDescent="0.3">
      <c r="A75" s="547"/>
      <c r="B75" s="547"/>
      <c r="C75" s="547"/>
      <c r="D75" s="547"/>
      <c r="E75" s="178"/>
      <c r="F75" s="178"/>
      <c r="G75" s="173"/>
    </row>
    <row r="76" spans="1:7" ht="15.75" x14ac:dyDescent="0.25">
      <c r="A76" s="548"/>
      <c r="B76" s="548"/>
      <c r="C76" s="548"/>
      <c r="D76" s="548"/>
      <c r="E76" s="178"/>
      <c r="F76" s="178"/>
      <c r="G76" s="173"/>
    </row>
    <row r="77" spans="1:7" ht="15.75" x14ac:dyDescent="0.25">
      <c r="A77" s="240"/>
      <c r="B77" s="171"/>
      <c r="C77" s="172"/>
      <c r="D77" s="172"/>
      <c r="E77" s="178"/>
      <c r="F77" s="178"/>
      <c r="G77" s="173"/>
    </row>
    <row r="78" spans="1:7" ht="15.75" x14ac:dyDescent="0.25">
      <c r="A78" s="241"/>
      <c r="B78" s="171"/>
      <c r="C78" s="172"/>
      <c r="D78" s="179"/>
      <c r="E78" s="178"/>
      <c r="F78" s="178"/>
      <c r="G78" s="173"/>
    </row>
    <row r="79" spans="1:7" x14ac:dyDescent="0.2">
      <c r="A79" s="241"/>
      <c r="B79" s="549"/>
      <c r="C79" s="549"/>
      <c r="D79" s="549"/>
      <c r="E79" s="178"/>
      <c r="F79" s="178"/>
      <c r="G79" s="173"/>
    </row>
    <row r="80" spans="1:7" x14ac:dyDescent="0.2">
      <c r="A80" s="242"/>
      <c r="B80" s="243"/>
      <c r="C80" s="244"/>
      <c r="D80" s="244"/>
      <c r="E80" s="244"/>
      <c r="F80" s="244"/>
      <c r="G80" s="173"/>
    </row>
    <row r="81" spans="1:7" x14ac:dyDescent="0.2">
      <c r="A81" s="242"/>
      <c r="B81" s="245"/>
      <c r="C81" s="246"/>
      <c r="D81" s="246"/>
      <c r="E81" s="246"/>
      <c r="F81" s="178"/>
      <c r="G81" s="173"/>
    </row>
    <row r="82" spans="1:7" x14ac:dyDescent="0.2">
      <c r="A82" s="242"/>
      <c r="B82" s="245"/>
      <c r="C82" s="246"/>
      <c r="D82" s="246"/>
      <c r="E82" s="247"/>
      <c r="F82" s="247"/>
      <c r="G82" s="173"/>
    </row>
    <row r="83" spans="1:7" x14ac:dyDescent="0.2">
      <c r="A83" s="242"/>
      <c r="B83" s="245"/>
      <c r="C83" s="246"/>
      <c r="D83" s="246"/>
      <c r="E83" s="247"/>
      <c r="F83" s="247"/>
      <c r="G83" s="173"/>
    </row>
    <row r="84" spans="1:7" x14ac:dyDescent="0.2">
      <c r="A84" s="242"/>
      <c r="B84" s="245"/>
      <c r="C84" s="246"/>
      <c r="D84" s="246"/>
      <c r="E84" s="247"/>
      <c r="F84" s="247"/>
      <c r="G84" s="173"/>
    </row>
    <row r="85" spans="1:7" x14ac:dyDescent="0.2">
      <c r="A85" s="248"/>
      <c r="B85" s="249"/>
      <c r="C85" s="250"/>
      <c r="D85" s="250"/>
      <c r="E85" s="251"/>
      <c r="F85" s="251"/>
      <c r="G85" s="173"/>
    </row>
    <row r="86" spans="1:7" x14ac:dyDescent="0.2">
      <c r="A86" s="248"/>
      <c r="B86" s="249"/>
      <c r="C86" s="250"/>
      <c r="D86" s="250"/>
      <c r="E86" s="251"/>
      <c r="F86" s="251"/>
      <c r="G86" s="173"/>
    </row>
    <row r="87" spans="1:7" x14ac:dyDescent="0.2">
      <c r="A87" s="252"/>
      <c r="B87" s="253"/>
      <c r="C87" s="254"/>
      <c r="D87" s="255"/>
      <c r="E87" s="251"/>
      <c r="F87" s="251"/>
      <c r="G87" s="173"/>
    </row>
    <row r="88" spans="1:7" x14ac:dyDescent="0.2">
      <c r="A88" s="248"/>
      <c r="B88" s="249"/>
      <c r="C88" s="254"/>
      <c r="D88" s="254"/>
      <c r="E88" s="251"/>
      <c r="F88" s="251"/>
      <c r="G88" s="173"/>
    </row>
    <row r="89" spans="1:7" x14ac:dyDescent="0.2">
      <c r="A89" s="248"/>
      <c r="B89" s="249"/>
      <c r="C89" s="254"/>
      <c r="D89" s="254"/>
      <c r="E89" s="251"/>
      <c r="F89" s="251"/>
      <c r="G89" s="173"/>
    </row>
    <row r="90" spans="1:7" x14ac:dyDescent="0.2">
      <c r="A90" s="252"/>
      <c r="B90" s="253"/>
      <c r="C90" s="254"/>
      <c r="D90" s="255"/>
      <c r="E90" s="251"/>
      <c r="F90" s="251"/>
      <c r="G90" s="173"/>
    </row>
    <row r="91" spans="1:7" x14ac:dyDescent="0.2">
      <c r="A91" s="248"/>
      <c r="B91" s="249"/>
      <c r="C91" s="254"/>
      <c r="D91" s="254"/>
      <c r="E91" s="251"/>
      <c r="F91" s="251"/>
      <c r="G91" s="173"/>
    </row>
    <row r="92" spans="1:7" x14ac:dyDescent="0.2">
      <c r="A92" s="248"/>
      <c r="B92" s="249"/>
      <c r="C92" s="254"/>
      <c r="D92" s="254"/>
      <c r="E92" s="251"/>
      <c r="F92" s="251"/>
      <c r="G92" s="173"/>
    </row>
    <row r="93" spans="1:7" x14ac:dyDescent="0.2">
      <c r="A93" s="256"/>
      <c r="B93" s="257"/>
      <c r="C93" s="254"/>
      <c r="D93" s="254"/>
      <c r="E93" s="251"/>
      <c r="F93" s="251"/>
      <c r="G93" s="173"/>
    </row>
    <row r="94" spans="1:7" x14ac:dyDescent="0.2">
      <c r="A94" s="258"/>
      <c r="B94" s="259"/>
      <c r="C94" s="254"/>
      <c r="D94" s="254"/>
      <c r="E94" s="251"/>
      <c r="F94" s="251"/>
      <c r="G94" s="173"/>
    </row>
    <row r="95" spans="1:7" x14ac:dyDescent="0.2">
      <c r="A95" s="242"/>
      <c r="B95" s="245"/>
      <c r="C95" s="260"/>
      <c r="D95" s="260"/>
      <c r="E95" s="251"/>
      <c r="F95" s="251"/>
      <c r="G95" s="173"/>
    </row>
    <row r="96" spans="1:7" x14ac:dyDescent="0.2">
      <c r="A96" s="242"/>
      <c r="B96" s="245"/>
      <c r="C96" s="260"/>
      <c r="D96" s="260"/>
      <c r="E96" s="251"/>
      <c r="F96" s="251"/>
      <c r="G96" s="173"/>
    </row>
    <row r="97" spans="1:7" x14ac:dyDescent="0.2">
      <c r="A97" s="241"/>
      <c r="B97" s="171"/>
      <c r="C97" s="251"/>
      <c r="D97" s="251"/>
      <c r="E97" s="251"/>
      <c r="F97" s="251"/>
      <c r="G97" s="173"/>
    </row>
    <row r="98" spans="1:7" x14ac:dyDescent="0.2">
      <c r="A98" s="242"/>
      <c r="B98" s="245"/>
      <c r="C98" s="260"/>
      <c r="D98" s="260"/>
      <c r="E98" s="251"/>
      <c r="F98" s="251"/>
      <c r="G98" s="173"/>
    </row>
    <row r="99" spans="1:7" x14ac:dyDescent="0.2">
      <c r="A99" s="261"/>
      <c r="B99" s="262"/>
      <c r="C99" s="263"/>
      <c r="D99" s="251"/>
      <c r="E99" s="251"/>
      <c r="F99" s="251"/>
      <c r="G99" s="173"/>
    </row>
    <row r="100" spans="1:7" x14ac:dyDescent="0.2">
      <c r="A100" s="241"/>
      <c r="B100" s="171"/>
      <c r="C100" s="263"/>
      <c r="D100" s="251"/>
      <c r="E100" s="251"/>
      <c r="F100" s="251"/>
      <c r="G100" s="173"/>
    </row>
    <row r="101" spans="1:7" x14ac:dyDescent="0.2">
      <c r="A101" s="248"/>
      <c r="B101" s="249"/>
      <c r="C101" s="263"/>
      <c r="D101" s="251"/>
      <c r="E101" s="251"/>
      <c r="F101" s="251"/>
      <c r="G101" s="173"/>
    </row>
    <row r="102" spans="1:7" x14ac:dyDescent="0.2">
      <c r="A102" s="256"/>
      <c r="B102" s="257"/>
      <c r="C102" s="263"/>
      <c r="D102" s="251"/>
      <c r="E102" s="251"/>
      <c r="F102" s="251"/>
      <c r="G102" s="173"/>
    </row>
    <row r="103" spans="1:7" x14ac:dyDescent="0.2">
      <c r="A103" s="256"/>
      <c r="B103" s="257"/>
      <c r="C103" s="263"/>
      <c r="D103" s="251"/>
      <c r="E103" s="251"/>
      <c r="F103" s="251"/>
      <c r="G103" s="173"/>
    </row>
    <row r="104" spans="1:7" x14ac:dyDescent="0.2">
      <c r="A104" s="258"/>
      <c r="B104" s="259"/>
      <c r="C104" s="263"/>
      <c r="D104" s="251"/>
      <c r="E104" s="251"/>
      <c r="F104" s="251"/>
      <c r="G104" s="173"/>
    </row>
    <row r="105" spans="1:7" x14ac:dyDescent="0.2">
      <c r="A105" s="256"/>
      <c r="B105" s="257"/>
      <c r="C105" s="263"/>
      <c r="D105" s="251"/>
      <c r="E105" s="251"/>
      <c r="F105" s="251"/>
      <c r="G105" s="173"/>
    </row>
    <row r="106" spans="1:7" x14ac:dyDescent="0.2">
      <c r="A106" s="256"/>
      <c r="B106" s="257"/>
      <c r="C106" s="263"/>
      <c r="D106" s="251"/>
      <c r="E106" s="251"/>
      <c r="F106" s="251"/>
      <c r="G106" s="173"/>
    </row>
    <row r="107" spans="1:7" x14ac:dyDescent="0.2">
      <c r="A107" s="264"/>
      <c r="B107" s="265"/>
      <c r="C107" s="263"/>
      <c r="D107" s="251"/>
      <c r="E107" s="251"/>
      <c r="F107" s="251"/>
      <c r="G107" s="173"/>
    </row>
    <row r="108" spans="1:7" x14ac:dyDescent="0.2">
      <c r="A108" s="258"/>
      <c r="B108" s="259"/>
      <c r="C108" s="263"/>
      <c r="D108" s="251"/>
      <c r="E108" s="251"/>
      <c r="F108" s="251"/>
      <c r="G108" s="173"/>
    </row>
    <row r="109" spans="1:7" x14ac:dyDescent="0.2">
      <c r="A109" s="258"/>
      <c r="B109" s="259"/>
      <c r="C109" s="263"/>
      <c r="D109" s="251"/>
      <c r="E109" s="251"/>
      <c r="F109" s="251"/>
      <c r="G109" s="173"/>
    </row>
    <row r="110" spans="1:7" x14ac:dyDescent="0.2">
      <c r="A110" s="252"/>
      <c r="B110" s="253"/>
      <c r="C110" s="255"/>
      <c r="D110" s="255"/>
      <c r="E110" s="251"/>
      <c r="F110" s="251"/>
      <c r="G110" s="173"/>
    </row>
    <row r="111" spans="1:7" x14ac:dyDescent="0.2">
      <c r="A111" s="252"/>
      <c r="B111" s="253"/>
      <c r="C111" s="255"/>
      <c r="D111" s="255"/>
      <c r="E111" s="251"/>
      <c r="F111" s="251"/>
      <c r="G111" s="173"/>
    </row>
    <row r="112" spans="1:7" x14ac:dyDescent="0.2">
      <c r="A112" s="252"/>
      <c r="B112" s="253"/>
      <c r="C112" s="255"/>
      <c r="D112" s="255"/>
      <c r="E112" s="251"/>
      <c r="F112" s="251"/>
      <c r="G112" s="173"/>
    </row>
    <row r="113" spans="1:7" x14ac:dyDescent="0.2">
      <c r="A113" s="248"/>
      <c r="B113" s="249"/>
      <c r="C113" s="254"/>
      <c r="D113" s="255"/>
      <c r="E113" s="251"/>
      <c r="F113" s="251"/>
      <c r="G113" s="173"/>
    </row>
    <row r="114" spans="1:7" x14ac:dyDescent="0.2">
      <c r="A114" s="266"/>
      <c r="B114" s="249"/>
      <c r="C114" s="254"/>
      <c r="D114" s="254"/>
      <c r="E114" s="251"/>
      <c r="F114" s="251"/>
      <c r="G114" s="173"/>
    </row>
    <row r="115" spans="1:7" x14ac:dyDescent="0.2">
      <c r="A115" s="267"/>
      <c r="B115" s="268"/>
      <c r="C115" s="178"/>
      <c r="D115" s="246"/>
      <c r="E115" s="246"/>
      <c r="F115" s="269"/>
      <c r="G115" s="173"/>
    </row>
    <row r="116" spans="1:7" x14ac:dyDescent="0.2">
      <c r="A116" s="267"/>
      <c r="B116" s="268"/>
      <c r="C116" s="178"/>
      <c r="D116" s="178"/>
      <c r="E116" s="178"/>
      <c r="F116" s="178"/>
      <c r="G116" s="173"/>
    </row>
    <row r="117" spans="1:7" x14ac:dyDescent="0.2">
      <c r="A117" s="267"/>
      <c r="B117" s="268"/>
      <c r="C117" s="178"/>
      <c r="D117" s="270"/>
      <c r="E117" s="178"/>
      <c r="F117" s="178"/>
      <c r="G117" s="173"/>
    </row>
    <row r="118" spans="1:7" ht="18.75" x14ac:dyDescent="0.2">
      <c r="A118" s="543"/>
      <c r="B118" s="543"/>
      <c r="C118" s="543"/>
      <c r="D118" s="543"/>
      <c r="E118" s="543"/>
      <c r="F118" s="543"/>
      <c r="G118" s="173"/>
    </row>
    <row r="119" spans="1:7" ht="15.75" x14ac:dyDescent="0.2">
      <c r="A119" s="544"/>
      <c r="B119" s="544"/>
      <c r="C119" s="544"/>
      <c r="D119" s="544"/>
      <c r="E119" s="544"/>
      <c r="F119" s="544"/>
      <c r="G119" s="173"/>
    </row>
    <row r="120" spans="1:7" ht="15.75" x14ac:dyDescent="0.2">
      <c r="A120" s="271"/>
      <c r="B120" s="180"/>
      <c r="C120" s="181"/>
      <c r="D120" s="181"/>
      <c r="E120" s="181"/>
      <c r="F120" s="272"/>
      <c r="G120" s="173"/>
    </row>
    <row r="121" spans="1:7" ht="15.75" x14ac:dyDescent="0.25">
      <c r="A121" s="267"/>
      <c r="B121" s="182"/>
      <c r="C121" s="181"/>
      <c r="D121" s="181"/>
      <c r="E121" s="181"/>
      <c r="F121" s="273"/>
      <c r="G121" s="173"/>
    </row>
    <row r="122" spans="1:7" ht="15.75" x14ac:dyDescent="0.25">
      <c r="A122" s="267"/>
      <c r="B122" s="182"/>
      <c r="C122" s="274"/>
      <c r="D122" s="274"/>
      <c r="E122" s="274"/>
      <c r="F122" s="273"/>
      <c r="G122" s="173"/>
    </row>
    <row r="123" spans="1:7" x14ac:dyDescent="0.2">
      <c r="A123" s="275"/>
      <c r="B123" s="276"/>
      <c r="C123" s="244"/>
      <c r="D123" s="244"/>
      <c r="E123" s="244"/>
      <c r="F123" s="244"/>
      <c r="G123" s="173"/>
    </row>
    <row r="124" spans="1:7" x14ac:dyDescent="0.2">
      <c r="A124" s="252"/>
      <c r="B124" s="253"/>
      <c r="C124" s="277"/>
      <c r="D124" s="277"/>
      <c r="E124" s="277"/>
      <c r="F124" s="278"/>
      <c r="G124" s="173"/>
    </row>
    <row r="125" spans="1:7" x14ac:dyDescent="0.2">
      <c r="A125" s="252"/>
      <c r="B125" s="253"/>
      <c r="C125" s="277"/>
      <c r="D125" s="277"/>
      <c r="E125" s="277"/>
      <c r="F125" s="278"/>
      <c r="G125" s="173"/>
    </row>
    <row r="126" spans="1:7" x14ac:dyDescent="0.2">
      <c r="A126" s="252"/>
      <c r="B126" s="253"/>
      <c r="C126" s="277"/>
      <c r="D126" s="277"/>
      <c r="E126" s="279"/>
      <c r="F126" s="278"/>
      <c r="G126" s="173"/>
    </row>
    <row r="127" spans="1:7" x14ac:dyDescent="0.2">
      <c r="A127" s="248"/>
      <c r="B127" s="249"/>
      <c r="C127" s="279"/>
      <c r="D127" s="279"/>
      <c r="E127" s="279"/>
      <c r="F127" s="280"/>
      <c r="G127" s="173"/>
    </row>
    <row r="128" spans="1:7" x14ac:dyDescent="0.2">
      <c r="A128" s="248"/>
      <c r="B128" s="249"/>
      <c r="C128" s="279"/>
      <c r="D128" s="279"/>
      <c r="E128" s="279"/>
      <c r="F128" s="280"/>
      <c r="G128" s="173"/>
    </row>
    <row r="129" spans="1:7" x14ac:dyDescent="0.2">
      <c r="A129" s="281"/>
      <c r="B129" s="253"/>
      <c r="C129" s="190"/>
      <c r="D129" s="190"/>
      <c r="E129" s="279"/>
      <c r="F129" s="278"/>
      <c r="G129" s="173"/>
    </row>
    <row r="130" spans="1:7" x14ac:dyDescent="0.2">
      <c r="A130" s="248"/>
      <c r="B130" s="249"/>
      <c r="C130" s="279"/>
      <c r="D130" s="279"/>
      <c r="E130" s="279"/>
      <c r="F130" s="280"/>
      <c r="G130" s="173"/>
    </row>
    <row r="131" spans="1:7" x14ac:dyDescent="0.2">
      <c r="A131" s="248"/>
      <c r="B131" s="249"/>
      <c r="C131" s="279"/>
      <c r="D131" s="279"/>
      <c r="E131" s="279"/>
      <c r="F131" s="280"/>
      <c r="G131" s="173"/>
    </row>
    <row r="132" spans="1:7" x14ac:dyDescent="0.2">
      <c r="A132" s="252"/>
      <c r="B132" s="253"/>
      <c r="C132" s="277"/>
      <c r="D132" s="277"/>
      <c r="E132" s="279"/>
      <c r="F132" s="282"/>
      <c r="G132" s="173"/>
    </row>
    <row r="133" spans="1:7" x14ac:dyDescent="0.2">
      <c r="A133" s="252"/>
      <c r="B133" s="253"/>
      <c r="C133" s="277"/>
      <c r="D133" s="277"/>
      <c r="E133" s="279"/>
      <c r="F133" s="282"/>
      <c r="G133" s="173"/>
    </row>
    <row r="134" spans="1:7" x14ac:dyDescent="0.2">
      <c r="A134" s="252"/>
      <c r="B134" s="253"/>
      <c r="C134" s="277"/>
      <c r="D134" s="277"/>
      <c r="E134" s="279"/>
      <c r="F134" s="278"/>
      <c r="G134" s="173"/>
    </row>
    <row r="135" spans="1:7" x14ac:dyDescent="0.2">
      <c r="A135" s="266"/>
      <c r="B135" s="249"/>
      <c r="C135" s="279"/>
      <c r="D135" s="279"/>
      <c r="E135" s="279"/>
      <c r="F135" s="283"/>
      <c r="G135" s="173"/>
    </row>
    <row r="136" spans="1:7" x14ac:dyDescent="0.2">
      <c r="A136" s="267"/>
      <c r="B136" s="268"/>
      <c r="C136" s="178"/>
      <c r="D136" s="270"/>
      <c r="E136" s="270"/>
      <c r="F136" s="178"/>
      <c r="G136" s="173"/>
    </row>
    <row r="137" spans="1:7" x14ac:dyDescent="0.2">
      <c r="A137" s="267"/>
      <c r="B137" s="268"/>
      <c r="C137" s="178"/>
      <c r="D137" s="270"/>
      <c r="E137" s="178"/>
      <c r="F137" s="178"/>
      <c r="G137" s="173"/>
    </row>
    <row r="138" spans="1:7" x14ac:dyDescent="0.2">
      <c r="A138" s="267"/>
      <c r="B138" s="268"/>
      <c r="C138" s="178"/>
      <c r="D138" s="270"/>
      <c r="E138" s="178"/>
      <c r="F138" s="178"/>
      <c r="G138" s="173"/>
    </row>
    <row r="139" spans="1:7" ht="18.75" x14ac:dyDescent="0.2">
      <c r="A139" s="543"/>
      <c r="B139" s="543"/>
      <c r="C139" s="543"/>
      <c r="D139" s="543"/>
      <c r="E139" s="543"/>
      <c r="F139" s="543"/>
      <c r="G139" s="173"/>
    </row>
    <row r="140" spans="1:7" ht="15.75" x14ac:dyDescent="0.2">
      <c r="A140" s="544"/>
      <c r="B140" s="544"/>
      <c r="C140" s="544"/>
      <c r="D140" s="544"/>
      <c r="E140" s="544"/>
      <c r="F140" s="544"/>
      <c r="G140" s="173"/>
    </row>
    <row r="141" spans="1:7" ht="15.75" x14ac:dyDescent="0.2">
      <c r="A141" s="230"/>
      <c r="B141" s="230"/>
      <c r="C141" s="230"/>
      <c r="D141" s="230"/>
      <c r="E141" s="230"/>
      <c r="F141" s="284"/>
      <c r="G141" s="173"/>
    </row>
    <row r="142" spans="1:7" x14ac:dyDescent="0.2">
      <c r="A142" s="285"/>
      <c r="B142" s="183"/>
      <c r="C142" s="183"/>
      <c r="D142" s="183"/>
      <c r="E142" s="183"/>
      <c r="F142" s="286"/>
      <c r="G142" s="173"/>
    </row>
    <row r="143" spans="1:7" x14ac:dyDescent="0.2">
      <c r="A143" s="287"/>
      <c r="B143" s="184"/>
      <c r="C143" s="185"/>
      <c r="D143" s="186"/>
      <c r="E143" s="186"/>
      <c r="F143" s="288"/>
      <c r="G143" s="173"/>
    </row>
    <row r="144" spans="1:7" ht="15.75" x14ac:dyDescent="0.2">
      <c r="A144" s="287"/>
      <c r="B144" s="184"/>
      <c r="C144" s="185"/>
      <c r="D144" s="289"/>
      <c r="E144" s="289"/>
      <c r="F144" s="290"/>
      <c r="G144" s="173"/>
    </row>
    <row r="145" spans="1:7" x14ac:dyDescent="0.2">
      <c r="A145" s="291"/>
      <c r="B145" s="291"/>
      <c r="C145" s="244"/>
      <c r="D145" s="244"/>
      <c r="E145" s="244"/>
      <c r="F145" s="244"/>
      <c r="G145" s="173"/>
    </row>
    <row r="146" spans="1:7" x14ac:dyDescent="0.2">
      <c r="A146" s="281"/>
      <c r="B146" s="292"/>
      <c r="C146" s="190"/>
      <c r="D146" s="190"/>
      <c r="E146" s="190"/>
      <c r="F146" s="293"/>
      <c r="G146" s="173"/>
    </row>
    <row r="147" spans="1:7" x14ac:dyDescent="0.2">
      <c r="A147" s="281"/>
      <c r="B147" s="292"/>
      <c r="C147" s="190"/>
      <c r="D147" s="190"/>
      <c r="E147" s="190"/>
      <c r="F147" s="293"/>
      <c r="G147" s="173"/>
    </row>
    <row r="148" spans="1:7" x14ac:dyDescent="0.2">
      <c r="A148" s="281"/>
      <c r="B148" s="292"/>
      <c r="C148" s="190"/>
      <c r="D148" s="190"/>
      <c r="E148" s="189"/>
      <c r="F148" s="278"/>
      <c r="G148" s="173"/>
    </row>
    <row r="149" spans="1:7" x14ac:dyDescent="0.2">
      <c r="A149" s="266"/>
      <c r="B149" s="188"/>
      <c r="C149" s="294"/>
      <c r="D149" s="189"/>
      <c r="E149" s="189"/>
      <c r="F149" s="191"/>
      <c r="G149" s="173"/>
    </row>
    <row r="150" spans="1:7" x14ac:dyDescent="0.2">
      <c r="A150" s="281"/>
      <c r="B150" s="292"/>
      <c r="C150" s="190"/>
      <c r="D150" s="190"/>
      <c r="E150" s="189"/>
      <c r="F150" s="293"/>
      <c r="G150" s="173"/>
    </row>
    <row r="151" spans="1:7" x14ac:dyDescent="0.2">
      <c r="A151" s="281"/>
      <c r="B151" s="292"/>
      <c r="C151" s="190"/>
      <c r="D151" s="190"/>
      <c r="E151" s="189"/>
      <c r="F151" s="293"/>
      <c r="G151" s="173"/>
    </row>
    <row r="152" spans="1:7" x14ac:dyDescent="0.2">
      <c r="A152" s="266"/>
      <c r="B152" s="188"/>
      <c r="C152" s="295"/>
      <c r="D152" s="190"/>
      <c r="E152" s="189"/>
      <c r="F152" s="293"/>
      <c r="G152" s="173"/>
    </row>
    <row r="153" spans="1:7" x14ac:dyDescent="0.2">
      <c r="A153" s="296"/>
      <c r="B153" s="297"/>
      <c r="C153" s="298"/>
      <c r="D153" s="298"/>
      <c r="E153" s="189"/>
      <c r="F153" s="191"/>
      <c r="G153" s="173"/>
    </row>
    <row r="154" spans="1:7" x14ac:dyDescent="0.2">
      <c r="A154" s="266"/>
      <c r="B154" s="188"/>
      <c r="C154" s="299"/>
      <c r="D154" s="299"/>
      <c r="E154" s="189"/>
      <c r="F154" s="191"/>
      <c r="G154" s="173"/>
    </row>
    <row r="155" spans="1:7" x14ac:dyDescent="0.2">
      <c r="A155" s="281"/>
      <c r="B155" s="292"/>
      <c r="C155" s="190"/>
      <c r="D155" s="190"/>
      <c r="E155" s="189"/>
      <c r="F155" s="293"/>
      <c r="G155" s="173"/>
    </row>
    <row r="156" spans="1:7" x14ac:dyDescent="0.2">
      <c r="A156" s="266"/>
      <c r="B156" s="188"/>
      <c r="C156" s="295"/>
      <c r="D156" s="190"/>
      <c r="E156" s="189"/>
      <c r="F156" s="293"/>
      <c r="G156" s="173"/>
    </row>
    <row r="157" spans="1:7" x14ac:dyDescent="0.2">
      <c r="A157" s="187"/>
      <c r="B157" s="188"/>
      <c r="C157" s="189"/>
      <c r="D157" s="190"/>
      <c r="E157" s="190"/>
      <c r="F157" s="191"/>
      <c r="G157" s="173"/>
    </row>
    <row r="158" spans="1:7" x14ac:dyDescent="0.2">
      <c r="A158" s="267"/>
      <c r="B158" s="268"/>
      <c r="C158" s="178"/>
      <c r="D158" s="300"/>
      <c r="E158" s="300"/>
      <c r="F158" s="178"/>
      <c r="G158" s="173"/>
    </row>
    <row r="159" spans="1:7" x14ac:dyDescent="0.2">
      <c r="A159" s="267"/>
      <c r="B159" s="268"/>
      <c r="C159" s="178"/>
      <c r="D159" s="247"/>
      <c r="E159" s="247"/>
      <c r="F159" s="178"/>
      <c r="G159" s="173"/>
    </row>
    <row r="160" spans="1:7" x14ac:dyDescent="0.2">
      <c r="A160" s="267"/>
      <c r="B160" s="268"/>
      <c r="C160" s="178"/>
      <c r="D160" s="300"/>
      <c r="E160" s="300"/>
      <c r="F160" s="178"/>
      <c r="G160" s="173"/>
    </row>
    <row r="161" spans="1:7" x14ac:dyDescent="0.2">
      <c r="A161" s="267"/>
      <c r="B161" s="268"/>
      <c r="C161" s="178"/>
      <c r="D161" s="251"/>
      <c r="E161" s="247"/>
      <c r="F161" s="178"/>
      <c r="G161" s="173"/>
    </row>
    <row r="162" spans="1:7" x14ac:dyDescent="0.2">
      <c r="A162" s="267"/>
      <c r="B162" s="268"/>
      <c r="C162" s="178"/>
      <c r="D162" s="301"/>
      <c r="E162" s="247"/>
      <c r="F162" s="178"/>
      <c r="G162" s="173"/>
    </row>
    <row r="163" spans="1:7" x14ac:dyDescent="0.2">
      <c r="A163" s="267"/>
      <c r="B163" s="268"/>
      <c r="C163" s="178"/>
      <c r="D163" s="251"/>
      <c r="E163" s="247"/>
      <c r="F163" s="178"/>
      <c r="G163" s="173"/>
    </row>
    <row r="164" spans="1:7" x14ac:dyDescent="0.2">
      <c r="A164" s="302"/>
      <c r="B164" s="303"/>
      <c r="C164" s="26"/>
      <c r="D164" s="26"/>
      <c r="E164" s="26"/>
      <c r="F164" s="26"/>
    </row>
    <row r="165" spans="1:7" x14ac:dyDescent="0.2">
      <c r="A165" s="302"/>
      <c r="B165" s="303"/>
      <c r="C165" s="26"/>
      <c r="D165" s="26"/>
      <c r="E165" s="26"/>
      <c r="F165" s="26"/>
    </row>
    <row r="166" spans="1:7" x14ac:dyDescent="0.2">
      <c r="A166" s="302"/>
      <c r="B166" s="303"/>
      <c r="C166" s="26"/>
      <c r="D166" s="26"/>
      <c r="E166" s="26"/>
      <c r="F166" s="26"/>
    </row>
    <row r="167" spans="1:7" x14ac:dyDescent="0.2">
      <c r="A167" s="302"/>
      <c r="B167" s="303"/>
      <c r="C167" s="26"/>
      <c r="D167" s="26"/>
      <c r="E167" s="26"/>
      <c r="F167" s="26"/>
    </row>
  </sheetData>
  <mergeCells count="10">
    <mergeCell ref="A118:F118"/>
    <mergeCell ref="A119:F119"/>
    <mergeCell ref="A139:F139"/>
    <mergeCell ref="A140:F140"/>
    <mergeCell ref="A1:D1"/>
    <mergeCell ref="A2:D2"/>
    <mergeCell ref="B5:D5"/>
    <mergeCell ref="A75:D75"/>
    <mergeCell ref="A76:D76"/>
    <mergeCell ref="B79:D79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F170"/>
  <sheetViews>
    <sheetView showGridLines="0" workbookViewId="0">
      <selection activeCell="C8" sqref="C8:D8"/>
    </sheetView>
  </sheetViews>
  <sheetFormatPr baseColWidth="10" defaultRowHeight="12.75" x14ac:dyDescent="0.2"/>
  <cols>
    <col min="1" max="1" width="10.7109375" style="85" customWidth="1"/>
    <col min="2" max="2" width="45.7109375" style="4" customWidth="1"/>
    <col min="3" max="3" width="10.42578125" style="35" bestFit="1" customWidth="1"/>
    <col min="4" max="4" width="8.7109375" style="4" bestFit="1" customWidth="1"/>
    <col min="5" max="16384" width="11.42578125" style="4"/>
  </cols>
  <sheetData>
    <row r="1" spans="1:6" ht="18.75" x14ac:dyDescent="0.2">
      <c r="A1" s="540" t="s">
        <v>406</v>
      </c>
      <c r="B1" s="541"/>
      <c r="C1" s="541"/>
      <c r="D1" s="541"/>
    </row>
    <row r="2" spans="1:6" ht="15" x14ac:dyDescent="0.2">
      <c r="A2" s="542" t="s">
        <v>931</v>
      </c>
      <c r="B2" s="539"/>
      <c r="C2" s="539"/>
      <c r="D2" s="539"/>
    </row>
    <row r="3" spans="1:6" x14ac:dyDescent="0.2">
      <c r="A3" s="333">
        <v>1</v>
      </c>
      <c r="B3" s="334" t="s">
        <v>4</v>
      </c>
      <c r="C3" s="335"/>
      <c r="D3" s="334"/>
    </row>
    <row r="4" spans="1:6" ht="13.5" customHeight="1" x14ac:dyDescent="0.2">
      <c r="A4" s="336">
        <v>1.3</v>
      </c>
      <c r="B4" s="337" t="s">
        <v>448</v>
      </c>
      <c r="C4" s="335"/>
      <c r="D4" s="334"/>
    </row>
    <row r="5" spans="1:6" x14ac:dyDescent="0.2">
      <c r="A5" s="336" t="s">
        <v>425</v>
      </c>
      <c r="B5" s="338" t="s">
        <v>448</v>
      </c>
      <c r="C5" s="339"/>
      <c r="D5" s="340"/>
    </row>
    <row r="6" spans="1:6" s="17" customFormat="1" ht="22.5" customHeight="1" x14ac:dyDescent="0.2">
      <c r="A6" s="30" t="s">
        <v>5</v>
      </c>
      <c r="B6" s="15" t="s">
        <v>6</v>
      </c>
      <c r="C6" s="32" t="s">
        <v>400</v>
      </c>
      <c r="D6" s="33" t="s">
        <v>7</v>
      </c>
      <c r="E6" s="472"/>
      <c r="F6" s="472"/>
    </row>
    <row r="7" spans="1:6" s="17" customFormat="1" x14ac:dyDescent="0.2">
      <c r="A7" s="30"/>
      <c r="B7" s="15"/>
      <c r="C7" s="32"/>
      <c r="D7" s="33"/>
    </row>
    <row r="8" spans="1:6" x14ac:dyDescent="0.2">
      <c r="A8" s="54"/>
      <c r="B8" s="56" t="s">
        <v>7</v>
      </c>
      <c r="C8" s="40">
        <f>SUM(C9:C42)</f>
        <v>172582.34999999998</v>
      </c>
      <c r="D8" s="40">
        <f>+D9</f>
        <v>172582.35</v>
      </c>
      <c r="E8" s="18"/>
    </row>
    <row r="9" spans="1:6" x14ac:dyDescent="0.2">
      <c r="A9" s="54">
        <v>5</v>
      </c>
      <c r="B9" s="56" t="s">
        <v>8</v>
      </c>
      <c r="C9" s="40"/>
      <c r="D9" s="40">
        <f>D10+D34</f>
        <v>172582.35</v>
      </c>
    </row>
    <row r="10" spans="1:6" x14ac:dyDescent="0.2">
      <c r="A10" s="54">
        <v>5.0999999999999996</v>
      </c>
      <c r="B10" s="43" t="s">
        <v>9</v>
      </c>
      <c r="C10" s="40"/>
      <c r="D10" s="40">
        <f>D11+D15+D18+D21+D25+D29</f>
        <v>169694.35</v>
      </c>
    </row>
    <row r="11" spans="1:6" x14ac:dyDescent="0.2">
      <c r="A11" s="54" t="s">
        <v>10</v>
      </c>
      <c r="B11" s="43" t="s">
        <v>11</v>
      </c>
      <c r="C11" s="40"/>
      <c r="D11" s="40">
        <f>SUM(C12:C14)</f>
        <v>110725.64</v>
      </c>
    </row>
    <row r="12" spans="1:6" x14ac:dyDescent="0.2">
      <c r="A12" s="45" t="s">
        <v>251</v>
      </c>
      <c r="B12" s="46" t="s">
        <v>833</v>
      </c>
      <c r="C12" s="41"/>
      <c r="D12" s="40"/>
    </row>
    <row r="13" spans="1:6" x14ac:dyDescent="0.2">
      <c r="A13" s="45" t="s">
        <v>183</v>
      </c>
      <c r="B13" s="46" t="s">
        <v>832</v>
      </c>
      <c r="C13" s="41">
        <v>75312</v>
      </c>
      <c r="D13" s="40"/>
      <c r="E13" s="18"/>
    </row>
    <row r="14" spans="1:6" x14ac:dyDescent="0.2">
      <c r="A14" s="45" t="s">
        <v>760</v>
      </c>
      <c r="B14" s="46" t="s">
        <v>831</v>
      </c>
      <c r="C14" s="47">
        <v>35413.64</v>
      </c>
      <c r="D14" s="44"/>
      <c r="E14" s="18"/>
    </row>
    <row r="15" spans="1:6" x14ac:dyDescent="0.2">
      <c r="A15" s="54" t="s">
        <v>252</v>
      </c>
      <c r="B15" s="43" t="s">
        <v>253</v>
      </c>
      <c r="C15" s="47"/>
      <c r="D15" s="44">
        <f>SUM(C16:C17)</f>
        <v>12447.939999999999</v>
      </c>
    </row>
    <row r="16" spans="1:6" x14ac:dyDescent="0.2">
      <c r="A16" s="45" t="s">
        <v>254</v>
      </c>
      <c r="B16" s="46" t="s">
        <v>255</v>
      </c>
      <c r="C16" s="47">
        <f>6276+2951.14</f>
        <v>9227.14</v>
      </c>
      <c r="D16" s="47"/>
      <c r="E16" s="18"/>
    </row>
    <row r="17" spans="1:5" x14ac:dyDescent="0.2">
      <c r="A17" s="45" t="s">
        <v>256</v>
      </c>
      <c r="B17" s="46" t="s">
        <v>257</v>
      </c>
      <c r="C17" s="47">
        <f>1610.4+1610.4</f>
        <v>3220.8</v>
      </c>
      <c r="D17" s="44"/>
    </row>
    <row r="18" spans="1:5" x14ac:dyDescent="0.2">
      <c r="A18" s="54" t="s">
        <v>349</v>
      </c>
      <c r="B18" s="56" t="s">
        <v>350</v>
      </c>
      <c r="C18" s="41"/>
      <c r="D18" s="44">
        <f>SUM(C19:C20)</f>
        <v>3360</v>
      </c>
    </row>
    <row r="19" spans="1:5" x14ac:dyDescent="0.2">
      <c r="A19" s="57" t="s">
        <v>508</v>
      </c>
      <c r="B19" s="58" t="s">
        <v>509</v>
      </c>
      <c r="C19" s="47">
        <v>480</v>
      </c>
      <c r="D19" s="44"/>
    </row>
    <row r="20" spans="1:5" x14ac:dyDescent="0.2">
      <c r="A20" s="57" t="s">
        <v>351</v>
      </c>
      <c r="B20" s="58" t="s">
        <v>830</v>
      </c>
      <c r="C20" s="47">
        <v>2880</v>
      </c>
      <c r="D20" s="47"/>
    </row>
    <row r="21" spans="1:5" x14ac:dyDescent="0.2">
      <c r="A21" s="54" t="s">
        <v>184</v>
      </c>
      <c r="B21" s="59" t="s">
        <v>185</v>
      </c>
      <c r="C21" s="47"/>
      <c r="D21" s="44">
        <f>SUM(C22:C23)</f>
        <v>857.02</v>
      </c>
    </row>
    <row r="22" spans="1:5" x14ac:dyDescent="0.2">
      <c r="A22" s="45" t="s">
        <v>277</v>
      </c>
      <c r="B22" s="60" t="s">
        <v>719</v>
      </c>
      <c r="C22" s="47">
        <v>289.87</v>
      </c>
      <c r="D22" s="47"/>
      <c r="E22" s="212"/>
    </row>
    <row r="23" spans="1:5" x14ac:dyDescent="0.2">
      <c r="A23" s="45" t="s">
        <v>479</v>
      </c>
      <c r="B23" s="46" t="s">
        <v>480</v>
      </c>
      <c r="C23" s="47">
        <v>567.15</v>
      </c>
      <c r="D23" s="44"/>
    </row>
    <row r="24" spans="1:5" x14ac:dyDescent="0.2">
      <c r="A24" s="54" t="s">
        <v>187</v>
      </c>
      <c r="B24" s="43" t="s">
        <v>186</v>
      </c>
      <c r="C24" s="48"/>
      <c r="D24" s="49"/>
    </row>
    <row r="25" spans="1:5" x14ac:dyDescent="0.2">
      <c r="A25" s="54" t="s">
        <v>766</v>
      </c>
      <c r="B25" s="43" t="s">
        <v>829</v>
      </c>
      <c r="C25" s="48"/>
      <c r="D25" s="216">
        <f>SUM(C26:C28)</f>
        <v>20000</v>
      </c>
    </row>
    <row r="26" spans="1:5" x14ac:dyDescent="0.2">
      <c r="A26" s="45" t="s">
        <v>258</v>
      </c>
      <c r="B26" s="46" t="s">
        <v>259</v>
      </c>
      <c r="C26" s="48">
        <v>20000</v>
      </c>
      <c r="D26" s="49"/>
    </row>
    <row r="27" spans="1:5" x14ac:dyDescent="0.2">
      <c r="A27" s="45" t="s">
        <v>769</v>
      </c>
      <c r="B27" s="46" t="s">
        <v>676</v>
      </c>
      <c r="C27" s="48"/>
      <c r="D27" s="49"/>
    </row>
    <row r="28" spans="1:5" x14ac:dyDescent="0.2">
      <c r="A28" s="45" t="s">
        <v>542</v>
      </c>
      <c r="B28" s="46" t="s">
        <v>543</v>
      </c>
      <c r="C28" s="48"/>
      <c r="D28" s="49"/>
    </row>
    <row r="29" spans="1:5" x14ac:dyDescent="0.2">
      <c r="A29" s="42" t="s">
        <v>12</v>
      </c>
      <c r="B29" s="43" t="s">
        <v>13</v>
      </c>
      <c r="C29" s="48"/>
      <c r="D29" s="216">
        <f>SUM(C30:C31)</f>
        <v>22303.75</v>
      </c>
    </row>
    <row r="30" spans="1:5" x14ac:dyDescent="0.2">
      <c r="A30" s="45" t="s">
        <v>260</v>
      </c>
      <c r="B30" s="46" t="s">
        <v>261</v>
      </c>
      <c r="C30" s="48">
        <f>8773.85+4302.76</f>
        <v>13076.61</v>
      </c>
      <c r="D30" s="49"/>
    </row>
    <row r="31" spans="1:5" x14ac:dyDescent="0.2">
      <c r="A31" s="45" t="s">
        <v>510</v>
      </c>
      <c r="B31" s="46" t="s">
        <v>700</v>
      </c>
      <c r="C31" s="48">
        <f>6276+2951.14</f>
        <v>9227.14</v>
      </c>
      <c r="D31" s="49"/>
    </row>
    <row r="32" spans="1:5" x14ac:dyDescent="0.2">
      <c r="A32" s="42" t="s">
        <v>302</v>
      </c>
      <c r="B32" s="43" t="s">
        <v>303</v>
      </c>
      <c r="C32" s="48"/>
      <c r="D32" s="226">
        <f>SUM(C33)</f>
        <v>0</v>
      </c>
    </row>
    <row r="33" spans="1:4" x14ac:dyDescent="0.2">
      <c r="A33" s="45" t="s">
        <v>768</v>
      </c>
      <c r="B33" s="46" t="s">
        <v>776</v>
      </c>
      <c r="C33" s="48"/>
      <c r="D33" s="49"/>
    </row>
    <row r="34" spans="1:4" x14ac:dyDescent="0.2">
      <c r="A34" s="54">
        <v>5.3</v>
      </c>
      <c r="B34" s="56" t="s">
        <v>14</v>
      </c>
      <c r="C34" s="40"/>
      <c r="D34" s="40">
        <f>+D35+D37+D40</f>
        <v>2888</v>
      </c>
    </row>
    <row r="35" spans="1:4" x14ac:dyDescent="0.2">
      <c r="A35" s="54" t="s">
        <v>23</v>
      </c>
      <c r="B35" s="56" t="s">
        <v>4</v>
      </c>
      <c r="C35" s="40"/>
      <c r="D35" s="40">
        <f>SUM(C36:C36)</f>
        <v>100</v>
      </c>
    </row>
    <row r="36" spans="1:4" x14ac:dyDescent="0.2">
      <c r="A36" s="57" t="s">
        <v>31</v>
      </c>
      <c r="B36" s="58" t="s">
        <v>32</v>
      </c>
      <c r="C36" s="41">
        <v>100</v>
      </c>
      <c r="D36" s="41"/>
    </row>
    <row r="37" spans="1:4" x14ac:dyDescent="0.2">
      <c r="A37" s="54" t="s">
        <v>33</v>
      </c>
      <c r="B37" s="56" t="s">
        <v>34</v>
      </c>
      <c r="C37" s="40"/>
      <c r="D37" s="40">
        <f>+C38+C39</f>
        <v>1000</v>
      </c>
    </row>
    <row r="38" spans="1:4" x14ac:dyDescent="0.2">
      <c r="A38" s="57" t="s">
        <v>35</v>
      </c>
      <c r="B38" s="58" t="s">
        <v>36</v>
      </c>
      <c r="C38" s="41">
        <v>500</v>
      </c>
      <c r="D38" s="41"/>
    </row>
    <row r="39" spans="1:4" x14ac:dyDescent="0.2">
      <c r="A39" s="57" t="s">
        <v>37</v>
      </c>
      <c r="B39" s="58" t="s">
        <v>38</v>
      </c>
      <c r="C39" s="41">
        <f>100+400</f>
        <v>500</v>
      </c>
      <c r="D39" s="41"/>
    </row>
    <row r="40" spans="1:4" x14ac:dyDescent="0.2">
      <c r="A40" s="54" t="s">
        <v>55</v>
      </c>
      <c r="B40" s="56" t="s">
        <v>56</v>
      </c>
      <c r="C40" s="40"/>
      <c r="D40" s="40">
        <f>SUM(C41:C42)</f>
        <v>1788</v>
      </c>
    </row>
    <row r="41" spans="1:4" x14ac:dyDescent="0.2">
      <c r="A41" s="57" t="s">
        <v>59</v>
      </c>
      <c r="B41" s="58" t="s">
        <v>60</v>
      </c>
      <c r="C41" s="41">
        <f>912+676</f>
        <v>1588</v>
      </c>
      <c r="D41" s="154"/>
    </row>
    <row r="42" spans="1:4" x14ac:dyDescent="0.2">
      <c r="A42" s="57" t="s">
        <v>65</v>
      </c>
      <c r="B42" s="58" t="s">
        <v>66</v>
      </c>
      <c r="C42" s="41">
        <v>200</v>
      </c>
      <c r="D42" s="41"/>
    </row>
    <row r="43" spans="1:4" x14ac:dyDescent="0.2">
      <c r="C43" s="39"/>
      <c r="D43" s="18"/>
    </row>
    <row r="44" spans="1:4" x14ac:dyDescent="0.2">
      <c r="C44" s="39"/>
      <c r="D44" s="18"/>
    </row>
    <row r="45" spans="1:4" x14ac:dyDescent="0.2">
      <c r="C45" s="39">
        <f>SUM(C9:C42)</f>
        <v>172582.34999999998</v>
      </c>
      <c r="D45" s="18"/>
    </row>
    <row r="46" spans="1:4" x14ac:dyDescent="0.2">
      <c r="C46" s="39"/>
      <c r="D46" s="18"/>
    </row>
    <row r="47" spans="1:4" x14ac:dyDescent="0.2">
      <c r="C47" s="39"/>
      <c r="D47" s="18"/>
    </row>
    <row r="48" spans="1:4" x14ac:dyDescent="0.2">
      <c r="C48" s="39"/>
      <c r="D48" s="18"/>
    </row>
    <row r="49" spans="3:4" x14ac:dyDescent="0.2">
      <c r="C49" s="39"/>
      <c r="D49" s="18"/>
    </row>
    <row r="50" spans="3:4" x14ac:dyDescent="0.2">
      <c r="C50" s="39"/>
      <c r="D50" s="18"/>
    </row>
    <row r="51" spans="3:4" x14ac:dyDescent="0.2">
      <c r="C51" s="39"/>
      <c r="D51" s="18"/>
    </row>
    <row r="52" spans="3:4" x14ac:dyDescent="0.2">
      <c r="C52" s="39"/>
      <c r="D52" s="18"/>
    </row>
    <row r="53" spans="3:4" x14ac:dyDescent="0.2">
      <c r="C53" s="39"/>
      <c r="D53" s="18"/>
    </row>
    <row r="54" spans="3:4" x14ac:dyDescent="0.2">
      <c r="C54" s="39"/>
      <c r="D54" s="18"/>
    </row>
    <row r="55" spans="3:4" x14ac:dyDescent="0.2">
      <c r="C55" s="39"/>
      <c r="D55" s="18"/>
    </row>
    <row r="56" spans="3:4" x14ac:dyDescent="0.2">
      <c r="C56" s="39"/>
      <c r="D56" s="18"/>
    </row>
    <row r="57" spans="3:4" x14ac:dyDescent="0.2">
      <c r="C57" s="39"/>
      <c r="D57" s="18"/>
    </row>
    <row r="58" spans="3:4" x14ac:dyDescent="0.2">
      <c r="C58" s="39"/>
      <c r="D58" s="18"/>
    </row>
    <row r="59" spans="3:4" x14ac:dyDescent="0.2">
      <c r="C59" s="39"/>
      <c r="D59" s="18"/>
    </row>
    <row r="60" spans="3:4" x14ac:dyDescent="0.2">
      <c r="C60" s="39"/>
      <c r="D60" s="18"/>
    </row>
    <row r="61" spans="3:4" x14ac:dyDescent="0.2">
      <c r="C61" s="39"/>
      <c r="D61" s="18"/>
    </row>
    <row r="62" spans="3:4" x14ac:dyDescent="0.2">
      <c r="C62" s="39"/>
      <c r="D62" s="18"/>
    </row>
    <row r="63" spans="3:4" x14ac:dyDescent="0.2">
      <c r="C63" s="39"/>
      <c r="D63" s="18"/>
    </row>
    <row r="64" spans="3:4" x14ac:dyDescent="0.2">
      <c r="C64" s="39"/>
      <c r="D64" s="18"/>
    </row>
    <row r="65" spans="3:4" x14ac:dyDescent="0.2">
      <c r="C65" s="39"/>
      <c r="D65" s="18"/>
    </row>
    <row r="66" spans="3:4" x14ac:dyDescent="0.2">
      <c r="C66" s="39"/>
      <c r="D66" s="18"/>
    </row>
    <row r="67" spans="3:4" x14ac:dyDescent="0.2">
      <c r="C67" s="39"/>
      <c r="D67" s="18"/>
    </row>
    <row r="68" spans="3:4" x14ac:dyDescent="0.2">
      <c r="C68" s="39"/>
      <c r="D68" s="18"/>
    </row>
    <row r="69" spans="3:4" x14ac:dyDescent="0.2">
      <c r="C69" s="39"/>
      <c r="D69" s="18"/>
    </row>
    <row r="70" spans="3:4" x14ac:dyDescent="0.2">
      <c r="C70" s="39"/>
      <c r="D70" s="18"/>
    </row>
    <row r="71" spans="3:4" x14ac:dyDescent="0.2">
      <c r="C71" s="39"/>
      <c r="D71" s="18"/>
    </row>
    <row r="72" spans="3:4" x14ac:dyDescent="0.2">
      <c r="C72" s="39"/>
      <c r="D72" s="18"/>
    </row>
    <row r="73" spans="3:4" x14ac:dyDescent="0.2">
      <c r="C73" s="39"/>
      <c r="D73" s="18"/>
    </row>
    <row r="74" spans="3:4" x14ac:dyDescent="0.2">
      <c r="C74" s="39"/>
      <c r="D74" s="18"/>
    </row>
    <row r="75" spans="3:4" x14ac:dyDescent="0.2">
      <c r="C75" s="39"/>
      <c r="D75" s="18"/>
    </row>
    <row r="76" spans="3:4" x14ac:dyDescent="0.2">
      <c r="C76" s="39"/>
      <c r="D76" s="18"/>
    </row>
    <row r="77" spans="3:4" x14ac:dyDescent="0.2">
      <c r="C77" s="39"/>
      <c r="D77" s="18"/>
    </row>
    <row r="78" spans="3:4" x14ac:dyDescent="0.2">
      <c r="C78" s="39"/>
      <c r="D78" s="18"/>
    </row>
    <row r="79" spans="3:4" x14ac:dyDescent="0.2">
      <c r="C79" s="39"/>
      <c r="D79" s="18"/>
    </row>
    <row r="80" spans="3:4" x14ac:dyDescent="0.2">
      <c r="C80" s="39"/>
      <c r="D80" s="18"/>
    </row>
    <row r="81" spans="3:4" x14ac:dyDescent="0.2">
      <c r="C81" s="39"/>
      <c r="D81" s="18"/>
    </row>
    <row r="82" spans="3:4" x14ac:dyDescent="0.2">
      <c r="C82" s="39"/>
      <c r="D82" s="18"/>
    </row>
    <row r="83" spans="3:4" x14ac:dyDescent="0.2">
      <c r="C83" s="39"/>
      <c r="D83" s="18"/>
    </row>
    <row r="84" spans="3:4" x14ac:dyDescent="0.2">
      <c r="C84" s="39"/>
      <c r="D84" s="18"/>
    </row>
    <row r="85" spans="3:4" x14ac:dyDescent="0.2">
      <c r="C85" s="39"/>
      <c r="D85" s="18"/>
    </row>
    <row r="86" spans="3:4" x14ac:dyDescent="0.2">
      <c r="C86" s="39"/>
      <c r="D86" s="18"/>
    </row>
    <row r="87" spans="3:4" x14ac:dyDescent="0.2">
      <c r="C87" s="39"/>
      <c r="D87" s="18"/>
    </row>
    <row r="88" spans="3:4" x14ac:dyDescent="0.2">
      <c r="C88" s="39"/>
      <c r="D88" s="18"/>
    </row>
    <row r="89" spans="3:4" x14ac:dyDescent="0.2">
      <c r="C89" s="39"/>
      <c r="D89" s="18"/>
    </row>
    <row r="90" spans="3:4" x14ac:dyDescent="0.2">
      <c r="C90" s="39"/>
      <c r="D90" s="18"/>
    </row>
    <row r="91" spans="3:4" x14ac:dyDescent="0.2">
      <c r="C91" s="39"/>
      <c r="D91" s="18"/>
    </row>
    <row r="92" spans="3:4" x14ac:dyDescent="0.2">
      <c r="C92" s="39"/>
      <c r="D92" s="18"/>
    </row>
    <row r="93" spans="3:4" x14ac:dyDescent="0.2">
      <c r="C93" s="39"/>
      <c r="D93" s="18"/>
    </row>
    <row r="94" spans="3:4" x14ac:dyDescent="0.2">
      <c r="C94" s="39"/>
      <c r="D94" s="18"/>
    </row>
    <row r="95" spans="3:4" x14ac:dyDescent="0.2">
      <c r="C95" s="39"/>
      <c r="D95" s="18"/>
    </row>
    <row r="96" spans="3:4" x14ac:dyDescent="0.2">
      <c r="C96" s="39"/>
      <c r="D96" s="18"/>
    </row>
    <row r="97" spans="3:4" x14ac:dyDescent="0.2">
      <c r="C97" s="39"/>
      <c r="D97" s="18"/>
    </row>
    <row r="98" spans="3:4" x14ac:dyDescent="0.2">
      <c r="C98" s="39"/>
      <c r="D98" s="18"/>
    </row>
    <row r="99" spans="3:4" x14ac:dyDescent="0.2">
      <c r="C99" s="39"/>
      <c r="D99" s="18"/>
    </row>
    <row r="100" spans="3:4" x14ac:dyDescent="0.2">
      <c r="C100" s="39"/>
      <c r="D100" s="18"/>
    </row>
    <row r="101" spans="3:4" x14ac:dyDescent="0.2">
      <c r="C101" s="39"/>
      <c r="D101" s="18"/>
    </row>
    <row r="102" spans="3:4" x14ac:dyDescent="0.2">
      <c r="C102" s="39"/>
      <c r="D102" s="18"/>
    </row>
    <row r="103" spans="3:4" x14ac:dyDescent="0.2">
      <c r="C103" s="39"/>
      <c r="D103" s="18"/>
    </row>
    <row r="104" spans="3:4" x14ac:dyDescent="0.2">
      <c r="C104" s="39"/>
      <c r="D104" s="18"/>
    </row>
    <row r="105" spans="3:4" x14ac:dyDescent="0.2">
      <c r="C105" s="39"/>
      <c r="D105" s="18"/>
    </row>
    <row r="106" spans="3:4" x14ac:dyDescent="0.2">
      <c r="C106" s="39"/>
      <c r="D106" s="18"/>
    </row>
    <row r="107" spans="3:4" x14ac:dyDescent="0.2">
      <c r="C107" s="39"/>
      <c r="D107" s="18"/>
    </row>
    <row r="108" spans="3:4" x14ac:dyDescent="0.2">
      <c r="C108" s="39"/>
      <c r="D108" s="18"/>
    </row>
    <row r="109" spans="3:4" x14ac:dyDescent="0.2">
      <c r="C109" s="39"/>
      <c r="D109" s="18"/>
    </row>
    <row r="110" spans="3:4" x14ac:dyDescent="0.2">
      <c r="C110" s="39"/>
      <c r="D110" s="18"/>
    </row>
    <row r="111" spans="3:4" x14ac:dyDescent="0.2">
      <c r="C111" s="39"/>
      <c r="D111" s="18"/>
    </row>
    <row r="112" spans="3:4" x14ac:dyDescent="0.2">
      <c r="C112" s="39"/>
      <c r="D112" s="18"/>
    </row>
    <row r="113" spans="3:4" x14ac:dyDescent="0.2">
      <c r="C113" s="39"/>
      <c r="D113" s="18"/>
    </row>
    <row r="114" spans="3:4" x14ac:dyDescent="0.2">
      <c r="C114" s="39"/>
      <c r="D114" s="18"/>
    </row>
    <row r="115" spans="3:4" x14ac:dyDescent="0.2">
      <c r="C115" s="39"/>
      <c r="D115" s="18"/>
    </row>
    <row r="116" spans="3:4" x14ac:dyDescent="0.2">
      <c r="C116" s="39"/>
      <c r="D116" s="18"/>
    </row>
    <row r="117" spans="3:4" x14ac:dyDescent="0.2">
      <c r="C117" s="39"/>
      <c r="D117" s="18"/>
    </row>
    <row r="118" spans="3:4" x14ac:dyDescent="0.2">
      <c r="C118" s="39"/>
      <c r="D118" s="18"/>
    </row>
    <row r="119" spans="3:4" x14ac:dyDescent="0.2">
      <c r="C119" s="39"/>
      <c r="D119" s="18"/>
    </row>
    <row r="120" spans="3:4" x14ac:dyDescent="0.2">
      <c r="C120" s="39"/>
      <c r="D120" s="18"/>
    </row>
    <row r="121" spans="3:4" x14ac:dyDescent="0.2">
      <c r="C121" s="39"/>
      <c r="D121" s="18"/>
    </row>
    <row r="122" spans="3:4" x14ac:dyDescent="0.2">
      <c r="C122" s="39"/>
      <c r="D122" s="18"/>
    </row>
    <row r="123" spans="3:4" x14ac:dyDescent="0.2">
      <c r="C123" s="39"/>
      <c r="D123" s="18"/>
    </row>
    <row r="124" spans="3:4" x14ac:dyDescent="0.2">
      <c r="C124" s="39"/>
      <c r="D124" s="18"/>
    </row>
    <row r="125" spans="3:4" x14ac:dyDescent="0.2">
      <c r="C125" s="39"/>
      <c r="D125" s="18"/>
    </row>
    <row r="126" spans="3:4" x14ac:dyDescent="0.2">
      <c r="C126" s="39"/>
      <c r="D126" s="18"/>
    </row>
    <row r="127" spans="3:4" x14ac:dyDescent="0.2">
      <c r="C127" s="39"/>
      <c r="D127" s="18"/>
    </row>
    <row r="128" spans="3:4" x14ac:dyDescent="0.2">
      <c r="C128" s="39"/>
      <c r="D128" s="18"/>
    </row>
    <row r="129" spans="3:4" x14ac:dyDescent="0.2">
      <c r="C129" s="39"/>
      <c r="D129" s="18"/>
    </row>
    <row r="130" spans="3:4" x14ac:dyDescent="0.2">
      <c r="C130" s="39"/>
      <c r="D130" s="18"/>
    </row>
    <row r="131" spans="3:4" x14ac:dyDescent="0.2">
      <c r="C131" s="39"/>
      <c r="D131" s="18"/>
    </row>
    <row r="132" spans="3:4" x14ac:dyDescent="0.2">
      <c r="C132" s="39"/>
      <c r="D132" s="18"/>
    </row>
    <row r="133" spans="3:4" x14ac:dyDescent="0.2">
      <c r="C133" s="39"/>
      <c r="D133" s="18"/>
    </row>
    <row r="134" spans="3:4" x14ac:dyDescent="0.2">
      <c r="C134" s="39"/>
      <c r="D134" s="18"/>
    </row>
    <row r="135" spans="3:4" x14ac:dyDescent="0.2">
      <c r="C135" s="39"/>
      <c r="D135" s="18"/>
    </row>
    <row r="136" spans="3:4" x14ac:dyDescent="0.2">
      <c r="C136" s="39"/>
      <c r="D136" s="18"/>
    </row>
    <row r="137" spans="3:4" x14ac:dyDescent="0.2">
      <c r="C137" s="39"/>
      <c r="D137" s="18"/>
    </row>
    <row r="138" spans="3:4" x14ac:dyDescent="0.2">
      <c r="C138" s="39"/>
      <c r="D138" s="18"/>
    </row>
    <row r="139" spans="3:4" x14ac:dyDescent="0.2">
      <c r="C139" s="39"/>
      <c r="D139" s="18"/>
    </row>
    <row r="140" spans="3:4" x14ac:dyDescent="0.2">
      <c r="C140" s="39"/>
      <c r="D140" s="18"/>
    </row>
    <row r="141" spans="3:4" x14ac:dyDescent="0.2">
      <c r="C141" s="39"/>
      <c r="D141" s="18"/>
    </row>
    <row r="142" spans="3:4" x14ac:dyDescent="0.2">
      <c r="C142" s="39"/>
      <c r="D142" s="18"/>
    </row>
    <row r="143" spans="3:4" x14ac:dyDescent="0.2">
      <c r="C143" s="39"/>
      <c r="D143" s="18"/>
    </row>
    <row r="144" spans="3:4" x14ac:dyDescent="0.2">
      <c r="C144" s="39"/>
      <c r="D144" s="18"/>
    </row>
    <row r="145" spans="3:4" x14ac:dyDescent="0.2">
      <c r="C145" s="39"/>
      <c r="D145" s="18"/>
    </row>
    <row r="146" spans="3:4" x14ac:dyDescent="0.2">
      <c r="C146" s="39"/>
      <c r="D146" s="18"/>
    </row>
    <row r="147" spans="3:4" x14ac:dyDescent="0.2">
      <c r="C147" s="39"/>
      <c r="D147" s="18"/>
    </row>
    <row r="148" spans="3:4" x14ac:dyDescent="0.2">
      <c r="C148" s="39"/>
      <c r="D148" s="18"/>
    </row>
    <row r="149" spans="3:4" x14ac:dyDescent="0.2">
      <c r="C149" s="39"/>
      <c r="D149" s="18"/>
    </row>
    <row r="150" spans="3:4" x14ac:dyDescent="0.2">
      <c r="C150" s="39"/>
      <c r="D150" s="18"/>
    </row>
    <row r="151" spans="3:4" x14ac:dyDescent="0.2">
      <c r="C151" s="39"/>
      <c r="D151" s="18"/>
    </row>
    <row r="152" spans="3:4" x14ac:dyDescent="0.2">
      <c r="C152" s="39"/>
      <c r="D152" s="18"/>
    </row>
    <row r="153" spans="3:4" x14ac:dyDescent="0.2">
      <c r="C153" s="39"/>
      <c r="D153" s="18"/>
    </row>
    <row r="154" spans="3:4" x14ac:dyDescent="0.2">
      <c r="C154" s="39"/>
      <c r="D154" s="18"/>
    </row>
    <row r="155" spans="3:4" x14ac:dyDescent="0.2">
      <c r="C155" s="39"/>
      <c r="D155" s="18"/>
    </row>
    <row r="156" spans="3:4" x14ac:dyDescent="0.2">
      <c r="C156" s="39"/>
      <c r="D156" s="18"/>
    </row>
    <row r="157" spans="3:4" x14ac:dyDescent="0.2">
      <c r="C157" s="39"/>
      <c r="D157" s="18"/>
    </row>
    <row r="158" spans="3:4" x14ac:dyDescent="0.2">
      <c r="C158" s="39"/>
      <c r="D158" s="18"/>
    </row>
    <row r="159" spans="3:4" x14ac:dyDescent="0.2">
      <c r="C159" s="39"/>
      <c r="D159" s="18"/>
    </row>
    <row r="160" spans="3:4" x14ac:dyDescent="0.2">
      <c r="C160" s="39"/>
      <c r="D160" s="18"/>
    </row>
    <row r="161" spans="3:4" x14ac:dyDescent="0.2">
      <c r="C161" s="39"/>
      <c r="D161" s="18"/>
    </row>
    <row r="162" spans="3:4" x14ac:dyDescent="0.2">
      <c r="C162" s="39"/>
      <c r="D162" s="18"/>
    </row>
    <row r="163" spans="3:4" x14ac:dyDescent="0.2">
      <c r="C163" s="39"/>
      <c r="D163" s="18"/>
    </row>
    <row r="164" spans="3:4" x14ac:dyDescent="0.2">
      <c r="C164" s="39"/>
      <c r="D164" s="18"/>
    </row>
    <row r="165" spans="3:4" x14ac:dyDescent="0.2">
      <c r="C165" s="39"/>
      <c r="D165" s="18"/>
    </row>
    <row r="166" spans="3:4" x14ac:dyDescent="0.2">
      <c r="C166" s="39"/>
      <c r="D166" s="18"/>
    </row>
    <row r="167" spans="3:4" x14ac:dyDescent="0.2">
      <c r="C167" s="39"/>
      <c r="D167" s="18"/>
    </row>
    <row r="168" spans="3:4" x14ac:dyDescent="0.2">
      <c r="C168" s="39"/>
      <c r="D168" s="18"/>
    </row>
    <row r="169" spans="3:4" x14ac:dyDescent="0.2">
      <c r="C169" s="39"/>
      <c r="D169" s="18"/>
    </row>
    <row r="170" spans="3:4" x14ac:dyDescent="0.2">
      <c r="C170" s="39"/>
      <c r="D170" s="18"/>
    </row>
  </sheetData>
  <mergeCells count="2">
    <mergeCell ref="A1:D1"/>
    <mergeCell ref="A2:D2"/>
  </mergeCells>
  <phoneticPr fontId="0" type="noConversion"/>
  <pageMargins left="1.1811023622047245" right="0.75" top="1.1811023622047245" bottom="0.59055118110236227" header="0" footer="0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H241"/>
  <sheetViews>
    <sheetView showGridLines="0" workbookViewId="0">
      <selection activeCell="G12" sqref="G12"/>
    </sheetView>
  </sheetViews>
  <sheetFormatPr baseColWidth="10" defaultRowHeight="12.75" x14ac:dyDescent="0.2"/>
  <cols>
    <col min="1" max="1" width="10.5703125" style="85" customWidth="1"/>
    <col min="2" max="2" width="46.42578125" style="25" customWidth="1"/>
    <col min="3" max="3" width="11.7109375" style="35" bestFit="1" customWidth="1"/>
    <col min="4" max="4" width="10.42578125" style="4" customWidth="1"/>
    <col min="5" max="7" width="11.42578125" style="4"/>
    <col min="8" max="8" width="12.85546875" style="4" bestFit="1" customWidth="1"/>
    <col min="9" max="16384" width="11.42578125" style="4"/>
  </cols>
  <sheetData>
    <row r="1" spans="1:6" ht="18.75" x14ac:dyDescent="0.2">
      <c r="A1" s="538" t="s">
        <v>406</v>
      </c>
      <c r="B1" s="538"/>
      <c r="C1" s="538"/>
      <c r="D1" s="538"/>
    </row>
    <row r="2" spans="1:6" ht="15" x14ac:dyDescent="0.2">
      <c r="A2" s="539" t="s">
        <v>931</v>
      </c>
      <c r="B2" s="539"/>
      <c r="C2" s="539"/>
      <c r="D2" s="539"/>
    </row>
    <row r="3" spans="1:6" ht="15" x14ac:dyDescent="0.2">
      <c r="A3" s="333">
        <v>2</v>
      </c>
      <c r="B3" s="354" t="s">
        <v>97</v>
      </c>
      <c r="C3" s="334"/>
      <c r="D3" s="355"/>
    </row>
    <row r="4" spans="1:6" x14ac:dyDescent="0.2">
      <c r="A4" s="336">
        <v>2.1</v>
      </c>
      <c r="B4" s="550" t="s">
        <v>451</v>
      </c>
      <c r="C4" s="550"/>
      <c r="D4" s="334"/>
    </row>
    <row r="5" spans="1:6" x14ac:dyDescent="0.2">
      <c r="A5" s="336" t="s">
        <v>417</v>
      </c>
      <c r="B5" s="551" t="s">
        <v>418</v>
      </c>
      <c r="C5" s="551"/>
      <c r="D5" s="334"/>
    </row>
    <row r="6" spans="1:6" s="17" customFormat="1" ht="21" customHeight="1" x14ac:dyDescent="0.2">
      <c r="A6" s="30" t="s">
        <v>5</v>
      </c>
      <c r="B6" s="16" t="s">
        <v>6</v>
      </c>
      <c r="C6" s="32" t="s">
        <v>400</v>
      </c>
      <c r="D6" s="33" t="s">
        <v>7</v>
      </c>
      <c r="E6" s="472"/>
      <c r="F6" s="472"/>
    </row>
    <row r="7" spans="1:6" s="17" customFormat="1" ht="21" customHeight="1" x14ac:dyDescent="0.2">
      <c r="A7" s="30"/>
      <c r="B7" s="16"/>
      <c r="C7" s="32"/>
      <c r="D7" s="33"/>
    </row>
    <row r="8" spans="1:6" x14ac:dyDescent="0.2">
      <c r="A8" s="54"/>
      <c r="B8" s="59" t="s">
        <v>7</v>
      </c>
      <c r="C8" s="40">
        <f>SUM(C9:C101)</f>
        <v>559828.65000000014</v>
      </c>
      <c r="D8" s="40">
        <f>D9+D95</f>
        <v>559828.65</v>
      </c>
      <c r="E8" s="18"/>
      <c r="F8" s="18"/>
    </row>
    <row r="9" spans="1:6" x14ac:dyDescent="0.2">
      <c r="A9" s="54">
        <v>7</v>
      </c>
      <c r="B9" s="59" t="s">
        <v>86</v>
      </c>
      <c r="C9" s="40"/>
      <c r="D9" s="40">
        <f>D10+D34+D90</f>
        <v>556828.65</v>
      </c>
      <c r="F9" s="18"/>
    </row>
    <row r="10" spans="1:6" x14ac:dyDescent="0.2">
      <c r="A10" s="42">
        <v>7.1</v>
      </c>
      <c r="B10" s="43" t="s">
        <v>9</v>
      </c>
      <c r="C10" s="41"/>
      <c r="D10" s="40">
        <f>D11+D15+D18+D21+D25+D29+D32</f>
        <v>222312.07000000004</v>
      </c>
    </row>
    <row r="11" spans="1:6" x14ac:dyDescent="0.2">
      <c r="A11" s="42" t="s">
        <v>151</v>
      </c>
      <c r="B11" s="43" t="s">
        <v>11</v>
      </c>
      <c r="C11" s="40"/>
      <c r="D11" s="40">
        <f>SUM(C12:C14)</f>
        <v>168709.23</v>
      </c>
    </row>
    <row r="12" spans="1:6" x14ac:dyDescent="0.2">
      <c r="A12" s="45" t="s">
        <v>262</v>
      </c>
      <c r="B12" s="46" t="s">
        <v>762</v>
      </c>
      <c r="C12" s="41"/>
      <c r="D12" s="41"/>
    </row>
    <row r="13" spans="1:6" x14ac:dyDescent="0.2">
      <c r="A13" s="45" t="s">
        <v>271</v>
      </c>
      <c r="B13" s="46" t="s">
        <v>832</v>
      </c>
      <c r="C13" s="41">
        <v>160416</v>
      </c>
      <c r="D13" s="41"/>
      <c r="E13" s="18"/>
    </row>
    <row r="14" spans="1:6" x14ac:dyDescent="0.2">
      <c r="A14" s="45" t="s">
        <v>770</v>
      </c>
      <c r="B14" s="46" t="s">
        <v>831</v>
      </c>
      <c r="C14" s="41">
        <v>8293.23</v>
      </c>
      <c r="D14" s="41"/>
      <c r="E14" s="471"/>
    </row>
    <row r="15" spans="1:6" x14ac:dyDescent="0.2">
      <c r="A15" s="42" t="s">
        <v>265</v>
      </c>
      <c r="B15" s="43" t="s">
        <v>253</v>
      </c>
      <c r="C15" s="47"/>
      <c r="D15" s="44">
        <f>SUM(C16:C17)</f>
        <v>18890.300000000003</v>
      </c>
    </row>
    <row r="16" spans="1:6" x14ac:dyDescent="0.2">
      <c r="A16" s="45" t="s">
        <v>263</v>
      </c>
      <c r="B16" s="46" t="s">
        <v>255</v>
      </c>
      <c r="C16" s="47">
        <f>13368+691.1</f>
        <v>14059.1</v>
      </c>
      <c r="D16" s="47"/>
    </row>
    <row r="17" spans="1:8" x14ac:dyDescent="0.2">
      <c r="A17" s="45" t="s">
        <v>264</v>
      </c>
      <c r="B17" s="46" t="s">
        <v>257</v>
      </c>
      <c r="C17" s="47">
        <f>4428.6+402.6</f>
        <v>4831.2000000000007</v>
      </c>
      <c r="D17" s="47"/>
    </row>
    <row r="18" spans="1:8" x14ac:dyDescent="0.2">
      <c r="A18" s="54" t="s">
        <v>464</v>
      </c>
      <c r="B18" s="56" t="s">
        <v>350</v>
      </c>
      <c r="C18" s="47"/>
      <c r="D18" s="44">
        <f>SUM(C19:C20)</f>
        <v>840</v>
      </c>
    </row>
    <row r="19" spans="1:8" x14ac:dyDescent="0.2">
      <c r="A19" s="57" t="s">
        <v>771</v>
      </c>
      <c r="B19" s="58" t="s">
        <v>509</v>
      </c>
      <c r="C19" s="47">
        <v>120</v>
      </c>
      <c r="D19" s="47"/>
    </row>
    <row r="20" spans="1:8" x14ac:dyDescent="0.2">
      <c r="A20" s="57" t="s">
        <v>465</v>
      </c>
      <c r="B20" s="58" t="s">
        <v>830</v>
      </c>
      <c r="C20" s="41">
        <v>720</v>
      </c>
      <c r="D20" s="40"/>
    </row>
    <row r="21" spans="1:8" x14ac:dyDescent="0.2">
      <c r="A21" s="42" t="s">
        <v>188</v>
      </c>
      <c r="B21" s="59" t="s">
        <v>185</v>
      </c>
      <c r="C21" s="41"/>
      <c r="D21" s="40">
        <f>SUM(C22:C23)</f>
        <v>117.35000000000001</v>
      </c>
    </row>
    <row r="22" spans="1:8" x14ac:dyDescent="0.2">
      <c r="A22" s="45" t="s">
        <v>278</v>
      </c>
      <c r="B22" s="60" t="s">
        <v>719</v>
      </c>
      <c r="C22" s="41">
        <v>96.62</v>
      </c>
      <c r="D22" s="41"/>
      <c r="H22" s="86"/>
    </row>
    <row r="23" spans="1:8" x14ac:dyDescent="0.2">
      <c r="A23" s="45" t="s">
        <v>481</v>
      </c>
      <c r="B23" s="46" t="s">
        <v>480</v>
      </c>
      <c r="C23" s="41">
        <v>20.73</v>
      </c>
      <c r="D23" s="40"/>
    </row>
    <row r="24" spans="1:8" x14ac:dyDescent="0.2">
      <c r="A24" s="42" t="s">
        <v>268</v>
      </c>
      <c r="B24" s="43" t="s">
        <v>186</v>
      </c>
      <c r="C24" s="61"/>
      <c r="D24" s="58"/>
    </row>
    <row r="25" spans="1:8" x14ac:dyDescent="0.2">
      <c r="A25" s="42" t="s">
        <v>772</v>
      </c>
      <c r="B25" s="43" t="s">
        <v>829</v>
      </c>
      <c r="C25" s="47"/>
      <c r="D25" s="44">
        <f>SUM(C26:C28)</f>
        <v>0</v>
      </c>
    </row>
    <row r="26" spans="1:8" x14ac:dyDescent="0.2">
      <c r="A26" s="45" t="s">
        <v>269</v>
      </c>
      <c r="B26" s="46" t="s">
        <v>259</v>
      </c>
      <c r="C26" s="48"/>
      <c r="D26" s="49"/>
    </row>
    <row r="27" spans="1:8" x14ac:dyDescent="0.2">
      <c r="A27" s="45" t="s">
        <v>675</v>
      </c>
      <c r="B27" s="46" t="s">
        <v>676</v>
      </c>
      <c r="C27" s="48"/>
      <c r="D27" s="49"/>
    </row>
    <row r="28" spans="1:8" x14ac:dyDescent="0.2">
      <c r="A28" s="45" t="s">
        <v>707</v>
      </c>
      <c r="B28" s="46" t="s">
        <v>543</v>
      </c>
      <c r="C28" s="48"/>
      <c r="D28" s="49"/>
    </row>
    <row r="29" spans="1:8" x14ac:dyDescent="0.2">
      <c r="A29" s="42" t="s">
        <v>266</v>
      </c>
      <c r="B29" s="43" t="s">
        <v>13</v>
      </c>
      <c r="C29" s="48"/>
      <c r="D29" s="216">
        <f>SUM(C30:C31)</f>
        <v>33755.19</v>
      </c>
    </row>
    <row r="30" spans="1:8" x14ac:dyDescent="0.2">
      <c r="A30" s="45" t="s">
        <v>267</v>
      </c>
      <c r="B30" s="46" t="s">
        <v>261</v>
      </c>
      <c r="C30" s="48">
        <f>18688.46+1007.63</f>
        <v>19696.09</v>
      </c>
      <c r="D30" s="49"/>
    </row>
    <row r="31" spans="1:8" x14ac:dyDescent="0.2">
      <c r="A31" s="45" t="s">
        <v>705</v>
      </c>
      <c r="B31" s="46" t="s">
        <v>700</v>
      </c>
      <c r="C31" s="48">
        <f>13368+691.1</f>
        <v>14059.1</v>
      </c>
      <c r="D31" s="49"/>
    </row>
    <row r="32" spans="1:8" x14ac:dyDescent="0.2">
      <c r="A32" s="42" t="s">
        <v>619</v>
      </c>
      <c r="B32" s="43" t="s">
        <v>303</v>
      </c>
      <c r="C32" s="48"/>
      <c r="D32" s="216">
        <f>SUM(C33)</f>
        <v>0</v>
      </c>
    </row>
    <row r="33" spans="1:7" x14ac:dyDescent="0.2">
      <c r="A33" s="45" t="s">
        <v>620</v>
      </c>
      <c r="B33" s="46" t="s">
        <v>776</v>
      </c>
      <c r="C33" s="48"/>
      <c r="D33" s="49"/>
    </row>
    <row r="34" spans="1:7" x14ac:dyDescent="0.2">
      <c r="A34" s="54">
        <v>7.3</v>
      </c>
      <c r="B34" s="59" t="s">
        <v>609</v>
      </c>
      <c r="C34" s="40"/>
      <c r="D34" s="40">
        <f>+D35+D37+D75+D81+D85+D39+D74+D78</f>
        <v>328016.57999999996</v>
      </c>
    </row>
    <row r="35" spans="1:7" x14ac:dyDescent="0.2">
      <c r="A35" s="54" t="s">
        <v>3</v>
      </c>
      <c r="B35" s="59" t="s">
        <v>16</v>
      </c>
      <c r="C35" s="40"/>
      <c r="D35" s="40">
        <f>+C36</f>
        <v>2000</v>
      </c>
    </row>
    <row r="36" spans="1:7" x14ac:dyDescent="0.2">
      <c r="A36" s="57" t="s">
        <v>0</v>
      </c>
      <c r="B36" s="60" t="s">
        <v>20</v>
      </c>
      <c r="C36" s="41">
        <v>2000</v>
      </c>
      <c r="D36" s="40"/>
    </row>
    <row r="37" spans="1:7" x14ac:dyDescent="0.2">
      <c r="A37" s="54" t="s">
        <v>152</v>
      </c>
      <c r="B37" s="59" t="s">
        <v>4</v>
      </c>
      <c r="C37" s="40"/>
      <c r="D37" s="40">
        <f>+C38</f>
        <v>26174.62</v>
      </c>
    </row>
    <row r="38" spans="1:7" x14ac:dyDescent="0.2">
      <c r="A38" s="57" t="s">
        <v>327</v>
      </c>
      <c r="B38" s="60" t="s">
        <v>753</v>
      </c>
      <c r="C38" s="41">
        <v>26174.62</v>
      </c>
      <c r="D38" s="41"/>
      <c r="F38" s="22"/>
      <c r="G38" s="22"/>
    </row>
    <row r="39" spans="1:7" x14ac:dyDescent="0.2">
      <c r="A39" s="54" t="s">
        <v>328</v>
      </c>
      <c r="B39" s="59" t="s">
        <v>545</v>
      </c>
      <c r="C39" s="40"/>
      <c r="D39" s="40">
        <f>SUM(C41:C73)</f>
        <v>245664.96</v>
      </c>
      <c r="F39" s="22"/>
      <c r="G39" s="22"/>
    </row>
    <row r="40" spans="1:7" x14ac:dyDescent="0.2">
      <c r="A40" s="57" t="s">
        <v>329</v>
      </c>
      <c r="B40" s="60" t="s">
        <v>236</v>
      </c>
      <c r="C40" s="41"/>
      <c r="D40" s="41"/>
      <c r="F40" s="13"/>
      <c r="G40" s="235"/>
    </row>
    <row r="41" spans="1:7" x14ac:dyDescent="0.2">
      <c r="A41" s="57" t="s">
        <v>330</v>
      </c>
      <c r="B41" s="60" t="s">
        <v>245</v>
      </c>
      <c r="C41" s="41">
        <v>10000</v>
      </c>
      <c r="D41" s="163"/>
      <c r="F41" s="13"/>
      <c r="G41" s="235"/>
    </row>
    <row r="42" spans="1:7" x14ac:dyDescent="0.2">
      <c r="A42" s="57" t="s">
        <v>331</v>
      </c>
      <c r="B42" s="60" t="s">
        <v>232</v>
      </c>
      <c r="C42" s="41">
        <v>10000</v>
      </c>
      <c r="D42" s="163"/>
      <c r="F42" s="13"/>
      <c r="G42" s="235"/>
    </row>
    <row r="43" spans="1:7" x14ac:dyDescent="0.2">
      <c r="A43" s="57" t="s">
        <v>332</v>
      </c>
      <c r="B43" s="60" t="s">
        <v>556</v>
      </c>
      <c r="C43" s="41">
        <v>4000</v>
      </c>
      <c r="D43" s="163"/>
      <c r="F43" s="13"/>
      <c r="G43" s="235"/>
    </row>
    <row r="44" spans="1:7" x14ac:dyDescent="0.2">
      <c r="A44" s="57" t="s">
        <v>384</v>
      </c>
      <c r="B44" s="60" t="s">
        <v>498</v>
      </c>
      <c r="C44" s="41">
        <v>4000</v>
      </c>
      <c r="D44" s="163"/>
      <c r="F44" s="13"/>
      <c r="G44" s="235"/>
    </row>
    <row r="45" spans="1:7" x14ac:dyDescent="0.2">
      <c r="A45" s="57" t="s">
        <v>777</v>
      </c>
      <c r="B45" s="60" t="s">
        <v>233</v>
      </c>
      <c r="C45" s="41">
        <v>10000</v>
      </c>
      <c r="D45" s="163"/>
      <c r="F45" s="13"/>
      <c r="G45" s="235"/>
    </row>
    <row r="46" spans="1:7" x14ac:dyDescent="0.2">
      <c r="A46" s="57" t="s">
        <v>385</v>
      </c>
      <c r="B46" s="62" t="s">
        <v>308</v>
      </c>
      <c r="C46" s="53">
        <v>15000</v>
      </c>
      <c r="D46" s="163"/>
      <c r="F46" s="69"/>
      <c r="G46" s="235"/>
    </row>
    <row r="47" spans="1:7" s="28" customFormat="1" ht="22.5" x14ac:dyDescent="0.2">
      <c r="A47" s="57" t="s">
        <v>333</v>
      </c>
      <c r="B47" s="62" t="s">
        <v>476</v>
      </c>
      <c r="C47" s="53">
        <v>7000</v>
      </c>
      <c r="D47" s="162"/>
      <c r="F47" s="69"/>
      <c r="G47" s="236"/>
    </row>
    <row r="48" spans="1:7" x14ac:dyDescent="0.2">
      <c r="A48" s="57" t="s">
        <v>778</v>
      </c>
      <c r="B48" s="62" t="s">
        <v>568</v>
      </c>
      <c r="C48" s="53">
        <v>30000</v>
      </c>
      <c r="D48" s="163"/>
      <c r="F48" s="69"/>
      <c r="G48" s="235"/>
    </row>
    <row r="49" spans="1:7" x14ac:dyDescent="0.2">
      <c r="A49" s="57" t="s">
        <v>334</v>
      </c>
      <c r="B49" s="62" t="s">
        <v>616</v>
      </c>
      <c r="C49" s="53"/>
      <c r="D49" s="163"/>
      <c r="F49" s="69"/>
      <c r="G49" s="235"/>
    </row>
    <row r="50" spans="1:7" x14ac:dyDescent="0.2">
      <c r="A50" s="57" t="s">
        <v>474</v>
      </c>
      <c r="B50" s="62" t="s">
        <v>323</v>
      </c>
      <c r="C50" s="53">
        <v>10000</v>
      </c>
      <c r="D50" s="163"/>
      <c r="F50" s="69"/>
      <c r="G50" s="235"/>
    </row>
    <row r="51" spans="1:7" ht="22.5" x14ac:dyDescent="0.2">
      <c r="A51" s="57" t="s">
        <v>475</v>
      </c>
      <c r="B51" s="62" t="s">
        <v>470</v>
      </c>
      <c r="C51" s="53">
        <v>25000</v>
      </c>
      <c r="D51" s="163"/>
      <c r="E51" s="212"/>
      <c r="F51" s="69"/>
      <c r="G51" s="235"/>
    </row>
    <row r="52" spans="1:7" x14ac:dyDescent="0.2">
      <c r="A52" s="57" t="s">
        <v>551</v>
      </c>
      <c r="B52" s="62" t="s">
        <v>499</v>
      </c>
      <c r="C52" s="53">
        <v>570</v>
      </c>
      <c r="D52" s="163"/>
      <c r="F52" s="69"/>
      <c r="G52" s="23"/>
    </row>
    <row r="53" spans="1:7" x14ac:dyDescent="0.2">
      <c r="A53" s="57"/>
      <c r="B53" s="62" t="s">
        <v>893</v>
      </c>
      <c r="C53" s="53">
        <v>570</v>
      </c>
      <c r="D53" s="163"/>
      <c r="F53" s="69"/>
      <c r="G53" s="23"/>
    </row>
    <row r="54" spans="1:7" x14ac:dyDescent="0.2">
      <c r="A54" s="57"/>
      <c r="B54" s="62" t="s">
        <v>895</v>
      </c>
      <c r="C54" s="53">
        <v>570</v>
      </c>
      <c r="D54" s="163"/>
      <c r="F54" s="69"/>
      <c r="G54" s="23"/>
    </row>
    <row r="55" spans="1:7" x14ac:dyDescent="0.2">
      <c r="A55" s="57"/>
      <c r="B55" s="62" t="s">
        <v>894</v>
      </c>
      <c r="C55" s="53">
        <v>2052</v>
      </c>
      <c r="D55" s="163"/>
      <c r="F55" s="69"/>
      <c r="G55" s="23"/>
    </row>
    <row r="56" spans="1:7" x14ac:dyDescent="0.2">
      <c r="A56" s="57"/>
      <c r="B56" s="62" t="s">
        <v>896</v>
      </c>
      <c r="C56" s="53">
        <v>2000</v>
      </c>
      <c r="D56" s="163"/>
      <c r="F56" s="69"/>
      <c r="G56" s="23"/>
    </row>
    <row r="57" spans="1:7" x14ac:dyDescent="0.2">
      <c r="A57" s="57"/>
      <c r="B57" s="62" t="s">
        <v>897</v>
      </c>
      <c r="C57" s="53">
        <v>0</v>
      </c>
      <c r="D57" s="163"/>
      <c r="F57" s="69"/>
      <c r="G57" s="23"/>
    </row>
    <row r="58" spans="1:7" x14ac:dyDescent="0.2">
      <c r="A58" s="57"/>
      <c r="B58" s="62" t="s">
        <v>898</v>
      </c>
      <c r="C58" s="53">
        <v>15680</v>
      </c>
      <c r="D58" s="163"/>
      <c r="F58" s="69"/>
      <c r="G58" s="23"/>
    </row>
    <row r="59" spans="1:7" x14ac:dyDescent="0.2">
      <c r="A59" s="57"/>
      <c r="B59" s="62" t="s">
        <v>899</v>
      </c>
      <c r="C59" s="53">
        <v>2622</v>
      </c>
      <c r="D59" s="163"/>
      <c r="F59" s="69"/>
      <c r="G59" s="23"/>
    </row>
    <row r="60" spans="1:7" ht="22.5" x14ac:dyDescent="0.2">
      <c r="A60" s="57"/>
      <c r="B60" s="62" t="s">
        <v>900</v>
      </c>
      <c r="C60" s="53">
        <v>0</v>
      </c>
      <c r="D60" s="163"/>
      <c r="F60" s="69"/>
      <c r="G60" s="23"/>
    </row>
    <row r="61" spans="1:7" x14ac:dyDescent="0.2">
      <c r="A61" s="57" t="s">
        <v>553</v>
      </c>
      <c r="B61" s="62" t="s">
        <v>891</v>
      </c>
      <c r="C61" s="53">
        <v>0</v>
      </c>
      <c r="D61" s="163"/>
      <c r="F61" s="69"/>
      <c r="G61" s="23"/>
    </row>
    <row r="62" spans="1:7" x14ac:dyDescent="0.2">
      <c r="A62" s="57" t="s">
        <v>554</v>
      </c>
      <c r="B62" s="62" t="s">
        <v>365</v>
      </c>
      <c r="C62" s="53">
        <f>12200.96+25000</f>
        <v>37200.959999999999</v>
      </c>
      <c r="D62" s="163"/>
      <c r="F62" s="69"/>
      <c r="G62" s="235"/>
    </row>
    <row r="63" spans="1:7" x14ac:dyDescent="0.2">
      <c r="A63" s="57" t="s">
        <v>557</v>
      </c>
      <c r="B63" s="62" t="s">
        <v>501</v>
      </c>
      <c r="C63" s="53">
        <v>6000</v>
      </c>
      <c r="D63" s="163"/>
      <c r="F63" s="69"/>
      <c r="G63" s="235"/>
    </row>
    <row r="64" spans="1:7" x14ac:dyDescent="0.2">
      <c r="A64" s="57" t="s">
        <v>559</v>
      </c>
      <c r="B64" s="62" t="s">
        <v>838</v>
      </c>
      <c r="C64" s="53">
        <v>13800</v>
      </c>
      <c r="D64" s="163"/>
      <c r="F64" s="69"/>
      <c r="G64" s="23"/>
    </row>
    <row r="65" spans="1:7" x14ac:dyDescent="0.2">
      <c r="A65" s="57" t="s">
        <v>561</v>
      </c>
      <c r="B65" s="62" t="s">
        <v>471</v>
      </c>
      <c r="C65" s="53"/>
      <c r="D65" s="163"/>
      <c r="F65" s="69"/>
      <c r="G65" s="23"/>
    </row>
    <row r="66" spans="1:7" x14ac:dyDescent="0.2">
      <c r="A66" s="57" t="s">
        <v>563</v>
      </c>
      <c r="B66" s="62" t="s">
        <v>472</v>
      </c>
      <c r="C66" s="53"/>
      <c r="D66" s="41"/>
      <c r="F66" s="69"/>
      <c r="G66" s="23"/>
    </row>
    <row r="67" spans="1:7" x14ac:dyDescent="0.2">
      <c r="A67" s="57" t="s">
        <v>564</v>
      </c>
      <c r="B67" s="62" t="s">
        <v>552</v>
      </c>
      <c r="C67" s="53">
        <v>3000</v>
      </c>
      <c r="D67" s="41"/>
      <c r="F67" s="69"/>
      <c r="G67" s="23"/>
    </row>
    <row r="68" spans="1:7" x14ac:dyDescent="0.2">
      <c r="A68" s="57" t="s">
        <v>779</v>
      </c>
      <c r="B68" s="62" t="s">
        <v>892</v>
      </c>
      <c r="C68" s="53">
        <v>3000</v>
      </c>
      <c r="D68" s="41"/>
      <c r="F68" s="69"/>
      <c r="G68" s="23"/>
    </row>
    <row r="69" spans="1:7" x14ac:dyDescent="0.2">
      <c r="A69" s="57" t="s">
        <v>565</v>
      </c>
      <c r="B69" s="62" t="s">
        <v>555</v>
      </c>
      <c r="C69" s="53">
        <v>10000</v>
      </c>
      <c r="D69" s="41"/>
      <c r="F69" s="69"/>
      <c r="G69" s="23"/>
    </row>
    <row r="70" spans="1:7" x14ac:dyDescent="0.2">
      <c r="A70" s="57" t="s">
        <v>780</v>
      </c>
      <c r="B70" s="62" t="s">
        <v>558</v>
      </c>
      <c r="C70" s="53">
        <v>6800</v>
      </c>
      <c r="D70" s="41"/>
      <c r="F70" s="69"/>
      <c r="G70" s="23"/>
    </row>
    <row r="71" spans="1:7" x14ac:dyDescent="0.2">
      <c r="A71" s="57" t="s">
        <v>566</v>
      </c>
      <c r="B71" s="62" t="s">
        <v>560</v>
      </c>
      <c r="C71" s="53">
        <v>6800</v>
      </c>
      <c r="D71" s="41"/>
      <c r="F71" s="69"/>
      <c r="G71" s="23"/>
    </row>
    <row r="72" spans="1:7" x14ac:dyDescent="0.2">
      <c r="A72" s="57" t="s">
        <v>781</v>
      </c>
      <c r="B72" s="62" t="s">
        <v>701</v>
      </c>
      <c r="C72" s="53"/>
      <c r="D72" s="41"/>
      <c r="F72" s="69"/>
      <c r="G72" s="23"/>
    </row>
    <row r="73" spans="1:7" ht="22.5" x14ac:dyDescent="0.2">
      <c r="A73" s="57" t="s">
        <v>567</v>
      </c>
      <c r="B73" s="62" t="s">
        <v>901</v>
      </c>
      <c r="C73" s="53">
        <v>10000</v>
      </c>
      <c r="D73" s="40"/>
      <c r="F73" s="69"/>
      <c r="G73" s="23"/>
    </row>
    <row r="74" spans="1:7" x14ac:dyDescent="0.2">
      <c r="A74" s="54" t="s">
        <v>502</v>
      </c>
      <c r="B74" s="93" t="s">
        <v>30</v>
      </c>
      <c r="C74" s="41"/>
      <c r="D74" s="215">
        <f>+C74</f>
        <v>0</v>
      </c>
      <c r="F74" s="69"/>
      <c r="G74" s="235"/>
    </row>
    <row r="75" spans="1:7" x14ac:dyDescent="0.2">
      <c r="A75" s="54" t="s">
        <v>153</v>
      </c>
      <c r="B75" s="59" t="s">
        <v>34</v>
      </c>
      <c r="C75" s="40"/>
      <c r="D75" s="40">
        <f>+C76+C77</f>
        <v>2000</v>
      </c>
      <c r="F75" s="22"/>
      <c r="G75" s="415"/>
    </row>
    <row r="76" spans="1:7" x14ac:dyDescent="0.2">
      <c r="A76" s="57" t="s">
        <v>154</v>
      </c>
      <c r="B76" s="60" t="s">
        <v>840</v>
      </c>
      <c r="C76" s="41">
        <v>1000</v>
      </c>
      <c r="D76" s="41"/>
      <c r="F76" s="22"/>
      <c r="G76" s="22"/>
    </row>
    <row r="77" spans="1:7" x14ac:dyDescent="0.2">
      <c r="A77" s="57" t="s">
        <v>155</v>
      </c>
      <c r="B77" s="60" t="s">
        <v>841</v>
      </c>
      <c r="C77" s="41">
        <v>1000</v>
      </c>
      <c r="D77" s="41"/>
      <c r="F77" s="22"/>
      <c r="G77" s="22"/>
    </row>
    <row r="78" spans="1:7" x14ac:dyDescent="0.2">
      <c r="A78" s="54" t="s">
        <v>156</v>
      </c>
      <c r="B78" s="59" t="s">
        <v>570</v>
      </c>
      <c r="C78" s="41"/>
      <c r="D78" s="40">
        <f>SUM(C79:C80)</f>
        <v>3500</v>
      </c>
      <c r="F78" s="22"/>
      <c r="G78" s="22"/>
    </row>
    <row r="79" spans="1:7" ht="22.5" x14ac:dyDescent="0.2">
      <c r="A79" s="57" t="s">
        <v>524</v>
      </c>
      <c r="B79" s="60" t="s">
        <v>571</v>
      </c>
      <c r="C79" s="41">
        <v>1500</v>
      </c>
      <c r="D79" s="41"/>
      <c r="F79" s="22"/>
      <c r="G79" s="22"/>
    </row>
    <row r="80" spans="1:7" x14ac:dyDescent="0.2">
      <c r="A80" s="57" t="s">
        <v>572</v>
      </c>
      <c r="B80" s="60" t="s">
        <v>573</v>
      </c>
      <c r="C80" s="41">
        <v>2000</v>
      </c>
      <c r="D80" s="41"/>
      <c r="F80" s="22"/>
      <c r="G80" s="22"/>
    </row>
    <row r="81" spans="1:7" x14ac:dyDescent="0.2">
      <c r="A81" s="54" t="s">
        <v>141</v>
      </c>
      <c r="B81" s="59" t="s">
        <v>142</v>
      </c>
      <c r="C81" s="40"/>
      <c r="D81" s="40">
        <f>+D82</f>
        <v>40000</v>
      </c>
      <c r="F81" s="22"/>
      <c r="G81" s="22"/>
    </row>
    <row r="82" spans="1:7" x14ac:dyDescent="0.2">
      <c r="A82" s="54" t="s">
        <v>143</v>
      </c>
      <c r="B82" s="59" t="s">
        <v>593</v>
      </c>
      <c r="C82" s="41"/>
      <c r="D82" s="40">
        <f>SUM(C83:C84)</f>
        <v>40000</v>
      </c>
      <c r="F82" s="22"/>
      <c r="G82" s="22"/>
    </row>
    <row r="83" spans="1:7" x14ac:dyDescent="0.2">
      <c r="A83" s="57" t="s">
        <v>144</v>
      </c>
      <c r="B83" s="60" t="s">
        <v>857</v>
      </c>
      <c r="C83" s="41">
        <v>25000</v>
      </c>
      <c r="D83" s="40"/>
      <c r="F83" s="22"/>
      <c r="G83" s="22"/>
    </row>
    <row r="84" spans="1:7" x14ac:dyDescent="0.2">
      <c r="A84" s="57" t="s">
        <v>182</v>
      </c>
      <c r="B84" s="60" t="s">
        <v>562</v>
      </c>
      <c r="C84" s="41">
        <v>15000</v>
      </c>
      <c r="D84" s="40"/>
      <c r="F84" s="22"/>
      <c r="G84" s="22"/>
    </row>
    <row r="85" spans="1:7" x14ac:dyDescent="0.2">
      <c r="A85" s="54" t="s">
        <v>159</v>
      </c>
      <c r="B85" s="59" t="s">
        <v>165</v>
      </c>
      <c r="C85" s="40"/>
      <c r="D85" s="40">
        <f>SUM(C86:C89)</f>
        <v>8677</v>
      </c>
      <c r="F85" s="22"/>
      <c r="G85" s="22"/>
    </row>
    <row r="86" spans="1:7" x14ac:dyDescent="0.2">
      <c r="A86" s="57" t="s">
        <v>160</v>
      </c>
      <c r="B86" s="60" t="s">
        <v>837</v>
      </c>
      <c r="C86" s="41">
        <f>2508+169</f>
        <v>2677</v>
      </c>
      <c r="D86" s="41"/>
      <c r="F86" s="22"/>
      <c r="G86" s="22"/>
    </row>
    <row r="87" spans="1:7" x14ac:dyDescent="0.2">
      <c r="A87" s="57" t="s">
        <v>192</v>
      </c>
      <c r="B87" s="60" t="s">
        <v>636</v>
      </c>
      <c r="C87" s="41">
        <v>1000</v>
      </c>
      <c r="D87" s="41"/>
      <c r="F87" s="22"/>
      <c r="G87" s="22"/>
    </row>
    <row r="88" spans="1:7" s="28" customFormat="1" ht="22.5" x14ac:dyDescent="0.2">
      <c r="A88" s="52" t="s">
        <v>305</v>
      </c>
      <c r="B88" s="46" t="s">
        <v>702</v>
      </c>
      <c r="C88" s="53">
        <v>2000</v>
      </c>
      <c r="D88" s="162"/>
      <c r="F88" s="237"/>
      <c r="G88" s="237"/>
    </row>
    <row r="89" spans="1:7" x14ac:dyDescent="0.2">
      <c r="A89" s="57" t="s">
        <v>335</v>
      </c>
      <c r="B89" s="60" t="s">
        <v>836</v>
      </c>
      <c r="C89" s="41">
        <v>3000</v>
      </c>
      <c r="D89" s="41"/>
      <c r="F89" s="22"/>
      <c r="G89" s="22"/>
    </row>
    <row r="90" spans="1:7" x14ac:dyDescent="0.2">
      <c r="A90" s="54">
        <v>7.8</v>
      </c>
      <c r="B90" s="59" t="s">
        <v>90</v>
      </c>
      <c r="C90" s="40"/>
      <c r="D90" s="40">
        <f>+D91</f>
        <v>6500</v>
      </c>
      <c r="F90" s="22"/>
      <c r="G90" s="22"/>
    </row>
    <row r="91" spans="1:7" x14ac:dyDescent="0.2">
      <c r="A91" s="54" t="s">
        <v>248</v>
      </c>
      <c r="B91" s="59" t="s">
        <v>92</v>
      </c>
      <c r="C91" s="40"/>
      <c r="D91" s="40">
        <f>D92</f>
        <v>6500</v>
      </c>
      <c r="F91" s="22"/>
      <c r="G91" s="22"/>
    </row>
    <row r="92" spans="1:7" x14ac:dyDescent="0.2">
      <c r="A92" s="54" t="s">
        <v>249</v>
      </c>
      <c r="B92" s="59" t="s">
        <v>93</v>
      </c>
      <c r="C92" s="41"/>
      <c r="D92" s="40">
        <f>C93+C94</f>
        <v>6500</v>
      </c>
      <c r="F92" s="22"/>
      <c r="G92" s="22"/>
    </row>
    <row r="93" spans="1:7" x14ac:dyDescent="0.2">
      <c r="A93" s="57" t="s">
        <v>250</v>
      </c>
      <c r="B93" s="60" t="s">
        <v>145</v>
      </c>
      <c r="C93" s="41">
        <v>1500</v>
      </c>
      <c r="D93" s="41"/>
      <c r="F93" s="22"/>
      <c r="G93" s="22"/>
    </row>
    <row r="94" spans="1:7" x14ac:dyDescent="0.2">
      <c r="A94" s="57" t="s">
        <v>288</v>
      </c>
      <c r="B94" s="60" t="s">
        <v>759</v>
      </c>
      <c r="C94" s="41">
        <v>5000</v>
      </c>
      <c r="D94" s="41"/>
      <c r="F94" s="22"/>
      <c r="G94" s="22"/>
    </row>
    <row r="95" spans="1:7" x14ac:dyDescent="0.2">
      <c r="A95" s="42">
        <v>8</v>
      </c>
      <c r="B95" s="43" t="s">
        <v>74</v>
      </c>
      <c r="C95" s="44"/>
      <c r="D95" s="44">
        <f>+D96</f>
        <v>3000</v>
      </c>
      <c r="F95" s="22"/>
      <c r="G95" s="22"/>
    </row>
    <row r="96" spans="1:7" x14ac:dyDescent="0.2">
      <c r="A96" s="42">
        <v>8.4</v>
      </c>
      <c r="B96" s="43" t="s">
        <v>75</v>
      </c>
      <c r="C96" s="44"/>
      <c r="D96" s="44">
        <f>+D97</f>
        <v>3000</v>
      </c>
      <c r="F96" s="22"/>
      <c r="G96" s="22"/>
    </row>
    <row r="97" spans="1:7" x14ac:dyDescent="0.2">
      <c r="A97" s="42" t="s">
        <v>76</v>
      </c>
      <c r="B97" s="43" t="s">
        <v>77</v>
      </c>
      <c r="C97" s="44"/>
      <c r="D97" s="44">
        <f>SUM(C98:C101)</f>
        <v>3000</v>
      </c>
      <c r="F97" s="22"/>
      <c r="G97" s="22"/>
    </row>
    <row r="98" spans="1:7" x14ac:dyDescent="0.2">
      <c r="A98" s="45" t="s">
        <v>473</v>
      </c>
      <c r="B98" s="46" t="s">
        <v>149</v>
      </c>
      <c r="C98" s="47"/>
      <c r="D98" s="165"/>
      <c r="F98" s="22"/>
      <c r="G98" s="22"/>
    </row>
    <row r="99" spans="1:7" x14ac:dyDescent="0.2">
      <c r="A99" s="45" t="s">
        <v>276</v>
      </c>
      <c r="B99" s="46" t="s">
        <v>569</v>
      </c>
      <c r="C99" s="47">
        <v>3000</v>
      </c>
      <c r="D99" s="165"/>
      <c r="E99" s="168"/>
      <c r="F99" s="23"/>
      <c r="G99" s="22"/>
    </row>
    <row r="100" spans="1:7" x14ac:dyDescent="0.2">
      <c r="A100" s="52" t="s">
        <v>78</v>
      </c>
      <c r="B100" s="46" t="s">
        <v>500</v>
      </c>
      <c r="C100" s="47"/>
      <c r="D100" s="164"/>
      <c r="E100" s="168"/>
      <c r="F100" s="22"/>
      <c r="G100" s="22"/>
    </row>
    <row r="101" spans="1:7" x14ac:dyDescent="0.2">
      <c r="A101" s="45" t="s">
        <v>79</v>
      </c>
      <c r="B101" s="46" t="s">
        <v>80</v>
      </c>
      <c r="C101" s="47"/>
      <c r="D101" s="47"/>
      <c r="F101" s="22"/>
      <c r="G101" s="22"/>
    </row>
    <row r="102" spans="1:7" x14ac:dyDescent="0.2">
      <c r="C102" s="39"/>
      <c r="D102" s="18"/>
      <c r="F102" s="22"/>
      <c r="G102" s="22"/>
    </row>
    <row r="103" spans="1:7" x14ac:dyDescent="0.2">
      <c r="C103" s="39"/>
      <c r="D103" s="18"/>
      <c r="F103" s="22"/>
      <c r="G103" s="22"/>
    </row>
    <row r="104" spans="1:7" x14ac:dyDescent="0.2">
      <c r="C104" s="39">
        <f>SUM(C9:C101)</f>
        <v>559828.65000000014</v>
      </c>
      <c r="D104" s="18"/>
      <c r="F104" s="22"/>
      <c r="G104" s="22"/>
    </row>
    <row r="105" spans="1:7" x14ac:dyDescent="0.2">
      <c r="C105" s="39"/>
      <c r="D105" s="18"/>
      <c r="F105" s="22"/>
      <c r="G105" s="22"/>
    </row>
    <row r="106" spans="1:7" x14ac:dyDescent="0.2">
      <c r="C106" s="39"/>
      <c r="D106" s="18"/>
      <c r="F106" s="22"/>
      <c r="G106" s="22"/>
    </row>
    <row r="107" spans="1:7" x14ac:dyDescent="0.2">
      <c r="C107" s="39"/>
      <c r="D107" s="18"/>
    </row>
    <row r="108" spans="1:7" x14ac:dyDescent="0.2">
      <c r="C108" s="39"/>
      <c r="D108" s="18"/>
    </row>
    <row r="109" spans="1:7" x14ac:dyDescent="0.2">
      <c r="C109" s="39"/>
      <c r="D109" s="18"/>
    </row>
    <row r="110" spans="1:7" x14ac:dyDescent="0.2">
      <c r="C110" s="39"/>
      <c r="D110" s="18"/>
    </row>
    <row r="111" spans="1:7" x14ac:dyDescent="0.2">
      <c r="C111" s="39"/>
      <c r="D111" s="18"/>
    </row>
    <row r="112" spans="1:7" x14ac:dyDescent="0.2">
      <c r="C112" s="39"/>
      <c r="D112" s="18"/>
    </row>
    <row r="113" spans="3:4" x14ac:dyDescent="0.2">
      <c r="C113" s="39"/>
      <c r="D113" s="18"/>
    </row>
    <row r="114" spans="3:4" x14ac:dyDescent="0.2">
      <c r="C114" s="39"/>
      <c r="D114" s="18"/>
    </row>
    <row r="115" spans="3:4" x14ac:dyDescent="0.2">
      <c r="C115" s="39"/>
      <c r="D115" s="18"/>
    </row>
    <row r="116" spans="3:4" x14ac:dyDescent="0.2">
      <c r="C116" s="39"/>
      <c r="D116" s="18"/>
    </row>
    <row r="117" spans="3:4" x14ac:dyDescent="0.2">
      <c r="C117" s="39"/>
      <c r="D117" s="18"/>
    </row>
    <row r="118" spans="3:4" x14ac:dyDescent="0.2">
      <c r="C118" s="39"/>
      <c r="D118" s="18"/>
    </row>
    <row r="119" spans="3:4" x14ac:dyDescent="0.2">
      <c r="C119" s="39"/>
      <c r="D119" s="18"/>
    </row>
    <row r="120" spans="3:4" x14ac:dyDescent="0.2">
      <c r="C120" s="39"/>
      <c r="D120" s="18"/>
    </row>
    <row r="121" spans="3:4" x14ac:dyDescent="0.2">
      <c r="C121" s="39"/>
      <c r="D121" s="18"/>
    </row>
    <row r="122" spans="3:4" x14ac:dyDescent="0.2">
      <c r="C122" s="39"/>
      <c r="D122" s="18"/>
    </row>
    <row r="123" spans="3:4" x14ac:dyDescent="0.2">
      <c r="C123" s="39"/>
      <c r="D123" s="18"/>
    </row>
    <row r="124" spans="3:4" x14ac:dyDescent="0.2">
      <c r="C124" s="39"/>
      <c r="D124" s="18"/>
    </row>
    <row r="125" spans="3:4" x14ac:dyDescent="0.2">
      <c r="C125" s="39"/>
      <c r="D125" s="18"/>
    </row>
    <row r="126" spans="3:4" x14ac:dyDescent="0.2">
      <c r="C126" s="39"/>
      <c r="D126" s="18"/>
    </row>
    <row r="127" spans="3:4" x14ac:dyDescent="0.2">
      <c r="C127" s="39"/>
      <c r="D127" s="18"/>
    </row>
    <row r="128" spans="3:4" x14ac:dyDescent="0.2">
      <c r="C128" s="39"/>
      <c r="D128" s="18"/>
    </row>
    <row r="129" spans="3:4" x14ac:dyDescent="0.2">
      <c r="C129" s="39"/>
      <c r="D129" s="18"/>
    </row>
    <row r="130" spans="3:4" x14ac:dyDescent="0.2">
      <c r="C130" s="39"/>
      <c r="D130" s="18"/>
    </row>
    <row r="131" spans="3:4" x14ac:dyDescent="0.2">
      <c r="C131" s="39"/>
      <c r="D131" s="18"/>
    </row>
    <row r="132" spans="3:4" x14ac:dyDescent="0.2">
      <c r="C132" s="39"/>
      <c r="D132" s="18"/>
    </row>
    <row r="133" spans="3:4" x14ac:dyDescent="0.2">
      <c r="C133" s="39"/>
      <c r="D133" s="18"/>
    </row>
    <row r="134" spans="3:4" x14ac:dyDescent="0.2">
      <c r="C134" s="39"/>
      <c r="D134" s="18"/>
    </row>
    <row r="135" spans="3:4" x14ac:dyDescent="0.2">
      <c r="C135" s="39"/>
      <c r="D135" s="18"/>
    </row>
    <row r="136" spans="3:4" x14ac:dyDescent="0.2">
      <c r="C136" s="39"/>
      <c r="D136" s="18"/>
    </row>
    <row r="137" spans="3:4" x14ac:dyDescent="0.2">
      <c r="C137" s="39"/>
      <c r="D137" s="18"/>
    </row>
    <row r="138" spans="3:4" x14ac:dyDescent="0.2">
      <c r="C138" s="39"/>
      <c r="D138" s="18"/>
    </row>
    <row r="139" spans="3:4" x14ac:dyDescent="0.2">
      <c r="C139" s="39"/>
      <c r="D139" s="18"/>
    </row>
    <row r="140" spans="3:4" x14ac:dyDescent="0.2">
      <c r="C140" s="39"/>
      <c r="D140" s="18"/>
    </row>
    <row r="141" spans="3:4" x14ac:dyDescent="0.2">
      <c r="C141" s="39"/>
      <c r="D141" s="18"/>
    </row>
    <row r="142" spans="3:4" x14ac:dyDescent="0.2">
      <c r="C142" s="39"/>
      <c r="D142" s="18"/>
    </row>
    <row r="143" spans="3:4" x14ac:dyDescent="0.2">
      <c r="C143" s="39"/>
      <c r="D143" s="18"/>
    </row>
    <row r="144" spans="3:4" x14ac:dyDescent="0.2">
      <c r="C144" s="39"/>
      <c r="D144" s="18"/>
    </row>
    <row r="145" spans="3:4" x14ac:dyDescent="0.2">
      <c r="C145" s="39"/>
      <c r="D145" s="18"/>
    </row>
    <row r="146" spans="3:4" x14ac:dyDescent="0.2">
      <c r="C146" s="39"/>
      <c r="D146" s="18"/>
    </row>
    <row r="147" spans="3:4" x14ac:dyDescent="0.2">
      <c r="C147" s="39"/>
      <c r="D147" s="18"/>
    </row>
    <row r="148" spans="3:4" x14ac:dyDescent="0.2">
      <c r="C148" s="39"/>
      <c r="D148" s="18"/>
    </row>
    <row r="149" spans="3:4" x14ac:dyDescent="0.2">
      <c r="C149" s="39"/>
      <c r="D149" s="18"/>
    </row>
    <row r="150" spans="3:4" x14ac:dyDescent="0.2">
      <c r="C150" s="39"/>
      <c r="D150" s="18"/>
    </row>
    <row r="151" spans="3:4" x14ac:dyDescent="0.2">
      <c r="C151" s="39"/>
      <c r="D151" s="18"/>
    </row>
    <row r="152" spans="3:4" x14ac:dyDescent="0.2">
      <c r="C152" s="39"/>
      <c r="D152" s="18"/>
    </row>
    <row r="153" spans="3:4" x14ac:dyDescent="0.2">
      <c r="C153" s="39"/>
      <c r="D153" s="18"/>
    </row>
    <row r="154" spans="3:4" x14ac:dyDescent="0.2">
      <c r="C154" s="39"/>
      <c r="D154" s="18"/>
    </row>
    <row r="155" spans="3:4" x14ac:dyDescent="0.2">
      <c r="C155" s="39"/>
      <c r="D155" s="18"/>
    </row>
    <row r="156" spans="3:4" x14ac:dyDescent="0.2">
      <c r="C156" s="39"/>
      <c r="D156" s="18"/>
    </row>
    <row r="157" spans="3:4" x14ac:dyDescent="0.2">
      <c r="C157" s="39"/>
      <c r="D157" s="18"/>
    </row>
    <row r="158" spans="3:4" x14ac:dyDescent="0.2">
      <c r="C158" s="39"/>
      <c r="D158" s="18"/>
    </row>
    <row r="159" spans="3:4" x14ac:dyDescent="0.2">
      <c r="C159" s="39"/>
      <c r="D159" s="18"/>
    </row>
    <row r="160" spans="3:4" x14ac:dyDescent="0.2">
      <c r="C160" s="39"/>
      <c r="D160" s="18"/>
    </row>
    <row r="161" spans="3:4" x14ac:dyDescent="0.2">
      <c r="C161" s="39"/>
      <c r="D161" s="18"/>
    </row>
    <row r="162" spans="3:4" x14ac:dyDescent="0.2">
      <c r="C162" s="39"/>
      <c r="D162" s="18"/>
    </row>
    <row r="163" spans="3:4" x14ac:dyDescent="0.2">
      <c r="C163" s="39"/>
      <c r="D163" s="18"/>
    </row>
    <row r="164" spans="3:4" x14ac:dyDescent="0.2">
      <c r="C164" s="39"/>
      <c r="D164" s="18"/>
    </row>
    <row r="165" spans="3:4" x14ac:dyDescent="0.2">
      <c r="C165" s="39"/>
      <c r="D165" s="18"/>
    </row>
    <row r="166" spans="3:4" x14ac:dyDescent="0.2">
      <c r="C166" s="39"/>
      <c r="D166" s="18"/>
    </row>
    <row r="167" spans="3:4" x14ac:dyDescent="0.2">
      <c r="C167" s="39"/>
      <c r="D167" s="18"/>
    </row>
    <row r="168" spans="3:4" x14ac:dyDescent="0.2">
      <c r="C168" s="39"/>
      <c r="D168" s="18"/>
    </row>
    <row r="169" spans="3:4" x14ac:dyDescent="0.2">
      <c r="C169" s="39"/>
      <c r="D169" s="18"/>
    </row>
    <row r="170" spans="3:4" x14ac:dyDescent="0.2">
      <c r="C170" s="39"/>
      <c r="D170" s="18"/>
    </row>
    <row r="171" spans="3:4" x14ac:dyDescent="0.2">
      <c r="C171" s="39"/>
      <c r="D171" s="18"/>
    </row>
    <row r="172" spans="3:4" x14ac:dyDescent="0.2">
      <c r="C172" s="39"/>
      <c r="D172" s="18"/>
    </row>
    <row r="173" spans="3:4" x14ac:dyDescent="0.2">
      <c r="C173" s="39"/>
      <c r="D173" s="18"/>
    </row>
    <row r="174" spans="3:4" x14ac:dyDescent="0.2">
      <c r="C174" s="39"/>
      <c r="D174" s="18"/>
    </row>
    <row r="175" spans="3:4" x14ac:dyDescent="0.2">
      <c r="C175" s="39"/>
      <c r="D175" s="18"/>
    </row>
    <row r="176" spans="3:4" x14ac:dyDescent="0.2">
      <c r="C176" s="39"/>
      <c r="D176" s="18"/>
    </row>
    <row r="177" spans="3:4" x14ac:dyDescent="0.2">
      <c r="C177" s="39"/>
      <c r="D177" s="18"/>
    </row>
    <row r="178" spans="3:4" x14ac:dyDescent="0.2">
      <c r="C178" s="39"/>
      <c r="D178" s="18"/>
    </row>
    <row r="179" spans="3:4" x14ac:dyDescent="0.2">
      <c r="C179" s="39"/>
      <c r="D179" s="18"/>
    </row>
    <row r="180" spans="3:4" x14ac:dyDescent="0.2">
      <c r="C180" s="39"/>
      <c r="D180" s="18"/>
    </row>
    <row r="181" spans="3:4" x14ac:dyDescent="0.2">
      <c r="C181" s="39"/>
      <c r="D181" s="18"/>
    </row>
    <row r="182" spans="3:4" x14ac:dyDescent="0.2">
      <c r="C182" s="39"/>
      <c r="D182" s="18"/>
    </row>
    <row r="183" spans="3:4" x14ac:dyDescent="0.2">
      <c r="C183" s="39"/>
      <c r="D183" s="18"/>
    </row>
    <row r="184" spans="3:4" x14ac:dyDescent="0.2">
      <c r="C184" s="39"/>
      <c r="D184" s="18"/>
    </row>
    <row r="185" spans="3:4" x14ac:dyDescent="0.2">
      <c r="C185" s="39"/>
      <c r="D185" s="18"/>
    </row>
    <row r="186" spans="3:4" x14ac:dyDescent="0.2">
      <c r="C186" s="39"/>
      <c r="D186" s="18"/>
    </row>
    <row r="187" spans="3:4" x14ac:dyDescent="0.2">
      <c r="C187" s="39"/>
      <c r="D187" s="18"/>
    </row>
    <row r="188" spans="3:4" x14ac:dyDescent="0.2">
      <c r="C188" s="39"/>
      <c r="D188" s="18"/>
    </row>
    <row r="189" spans="3:4" x14ac:dyDescent="0.2">
      <c r="C189" s="39"/>
      <c r="D189" s="18"/>
    </row>
    <row r="190" spans="3:4" x14ac:dyDescent="0.2">
      <c r="C190" s="39"/>
      <c r="D190" s="18"/>
    </row>
    <row r="191" spans="3:4" x14ac:dyDescent="0.2">
      <c r="C191" s="39"/>
      <c r="D191" s="18"/>
    </row>
    <row r="192" spans="3:4" x14ac:dyDescent="0.2">
      <c r="C192" s="39"/>
      <c r="D192" s="18"/>
    </row>
    <row r="193" spans="3:4" x14ac:dyDescent="0.2">
      <c r="C193" s="39"/>
      <c r="D193" s="18"/>
    </row>
    <row r="194" spans="3:4" x14ac:dyDescent="0.2">
      <c r="C194" s="39"/>
      <c r="D194" s="18"/>
    </row>
    <row r="195" spans="3:4" x14ac:dyDescent="0.2">
      <c r="C195" s="39"/>
      <c r="D195" s="18"/>
    </row>
    <row r="196" spans="3:4" x14ac:dyDescent="0.2">
      <c r="C196" s="39"/>
      <c r="D196" s="18"/>
    </row>
    <row r="197" spans="3:4" x14ac:dyDescent="0.2">
      <c r="C197" s="39"/>
      <c r="D197" s="18"/>
    </row>
    <row r="198" spans="3:4" x14ac:dyDescent="0.2">
      <c r="C198" s="39"/>
      <c r="D198" s="18"/>
    </row>
    <row r="199" spans="3:4" x14ac:dyDescent="0.2">
      <c r="C199" s="39"/>
      <c r="D199" s="18"/>
    </row>
    <row r="200" spans="3:4" x14ac:dyDescent="0.2">
      <c r="C200" s="39"/>
      <c r="D200" s="18"/>
    </row>
    <row r="201" spans="3:4" x14ac:dyDescent="0.2">
      <c r="C201" s="39"/>
      <c r="D201" s="18"/>
    </row>
    <row r="202" spans="3:4" x14ac:dyDescent="0.2">
      <c r="C202" s="39"/>
      <c r="D202" s="18"/>
    </row>
    <row r="203" spans="3:4" x14ac:dyDescent="0.2">
      <c r="C203" s="39"/>
      <c r="D203" s="18"/>
    </row>
    <row r="204" spans="3:4" x14ac:dyDescent="0.2">
      <c r="C204" s="39"/>
      <c r="D204" s="18"/>
    </row>
    <row r="205" spans="3:4" x14ac:dyDescent="0.2">
      <c r="C205" s="39"/>
      <c r="D205" s="18"/>
    </row>
    <row r="206" spans="3:4" x14ac:dyDescent="0.2">
      <c r="C206" s="39"/>
      <c r="D206" s="18"/>
    </row>
    <row r="207" spans="3:4" x14ac:dyDescent="0.2">
      <c r="C207" s="39"/>
      <c r="D207" s="18"/>
    </row>
    <row r="208" spans="3:4" x14ac:dyDescent="0.2">
      <c r="C208" s="39"/>
      <c r="D208" s="18"/>
    </row>
    <row r="209" spans="3:4" x14ac:dyDescent="0.2">
      <c r="C209" s="39"/>
      <c r="D209" s="18"/>
    </row>
    <row r="210" spans="3:4" x14ac:dyDescent="0.2">
      <c r="C210" s="39"/>
      <c r="D210" s="18"/>
    </row>
    <row r="211" spans="3:4" x14ac:dyDescent="0.2">
      <c r="C211" s="39"/>
      <c r="D211" s="18"/>
    </row>
    <row r="212" spans="3:4" x14ac:dyDescent="0.2">
      <c r="C212" s="39"/>
      <c r="D212" s="18"/>
    </row>
    <row r="213" spans="3:4" x14ac:dyDescent="0.2">
      <c r="C213" s="39"/>
      <c r="D213" s="18"/>
    </row>
    <row r="214" spans="3:4" x14ac:dyDescent="0.2">
      <c r="C214" s="39"/>
      <c r="D214" s="18"/>
    </row>
    <row r="215" spans="3:4" x14ac:dyDescent="0.2">
      <c r="C215" s="39"/>
      <c r="D215" s="18"/>
    </row>
    <row r="216" spans="3:4" x14ac:dyDescent="0.2">
      <c r="C216" s="39"/>
      <c r="D216" s="18"/>
    </row>
    <row r="217" spans="3:4" x14ac:dyDescent="0.2">
      <c r="C217" s="39"/>
      <c r="D217" s="18"/>
    </row>
    <row r="218" spans="3:4" x14ac:dyDescent="0.2">
      <c r="C218" s="39"/>
      <c r="D218" s="18"/>
    </row>
    <row r="219" spans="3:4" x14ac:dyDescent="0.2">
      <c r="C219" s="39"/>
      <c r="D219" s="18"/>
    </row>
    <row r="220" spans="3:4" x14ac:dyDescent="0.2">
      <c r="C220" s="39"/>
      <c r="D220" s="18"/>
    </row>
    <row r="221" spans="3:4" x14ac:dyDescent="0.2">
      <c r="C221" s="39"/>
      <c r="D221" s="18"/>
    </row>
    <row r="222" spans="3:4" x14ac:dyDescent="0.2">
      <c r="C222" s="39"/>
      <c r="D222" s="18"/>
    </row>
    <row r="223" spans="3:4" x14ac:dyDescent="0.2">
      <c r="C223" s="39"/>
      <c r="D223" s="18"/>
    </row>
    <row r="224" spans="3:4" x14ac:dyDescent="0.2">
      <c r="C224" s="39"/>
      <c r="D224" s="18"/>
    </row>
    <row r="225" spans="3:4" x14ac:dyDescent="0.2">
      <c r="C225" s="39"/>
      <c r="D225" s="18"/>
    </row>
    <row r="226" spans="3:4" x14ac:dyDescent="0.2">
      <c r="C226" s="39"/>
      <c r="D226" s="18"/>
    </row>
    <row r="227" spans="3:4" x14ac:dyDescent="0.2">
      <c r="C227" s="39"/>
      <c r="D227" s="18"/>
    </row>
    <row r="228" spans="3:4" x14ac:dyDescent="0.2">
      <c r="C228" s="39"/>
      <c r="D228" s="18"/>
    </row>
    <row r="229" spans="3:4" x14ac:dyDescent="0.2">
      <c r="C229" s="39"/>
      <c r="D229" s="18"/>
    </row>
    <row r="230" spans="3:4" x14ac:dyDescent="0.2">
      <c r="C230" s="39"/>
      <c r="D230" s="18"/>
    </row>
    <row r="231" spans="3:4" x14ac:dyDescent="0.2">
      <c r="C231" s="39"/>
      <c r="D231" s="18"/>
    </row>
    <row r="232" spans="3:4" x14ac:dyDescent="0.2">
      <c r="C232" s="39"/>
      <c r="D232" s="18"/>
    </row>
    <row r="233" spans="3:4" x14ac:dyDescent="0.2">
      <c r="C233" s="39"/>
      <c r="D233" s="18"/>
    </row>
    <row r="234" spans="3:4" x14ac:dyDescent="0.2">
      <c r="C234" s="39"/>
      <c r="D234" s="18"/>
    </row>
    <row r="235" spans="3:4" x14ac:dyDescent="0.2">
      <c r="C235" s="39"/>
      <c r="D235" s="18"/>
    </row>
    <row r="236" spans="3:4" x14ac:dyDescent="0.2">
      <c r="C236" s="39"/>
      <c r="D236" s="18"/>
    </row>
    <row r="237" spans="3:4" x14ac:dyDescent="0.2">
      <c r="C237" s="39"/>
      <c r="D237" s="18"/>
    </row>
    <row r="238" spans="3:4" x14ac:dyDescent="0.2">
      <c r="C238" s="39"/>
      <c r="D238" s="18"/>
    </row>
    <row r="239" spans="3:4" x14ac:dyDescent="0.2">
      <c r="C239" s="39"/>
      <c r="D239" s="18"/>
    </row>
    <row r="240" spans="3:4" x14ac:dyDescent="0.2">
      <c r="C240" s="39"/>
      <c r="D240" s="18"/>
    </row>
    <row r="241" spans="3:4" x14ac:dyDescent="0.2">
      <c r="C241" s="39"/>
      <c r="D241" s="18"/>
    </row>
  </sheetData>
  <mergeCells count="4">
    <mergeCell ref="A1:D1"/>
    <mergeCell ref="A2:D2"/>
    <mergeCell ref="B4:C4"/>
    <mergeCell ref="B5:C5"/>
  </mergeCells>
  <phoneticPr fontId="0" type="noConversion"/>
  <pageMargins left="0.98425196850393704" right="0.98425196850393704" top="0.78740157480314965" bottom="0.59055118110236227" header="0" footer="0"/>
  <pageSetup paperSize="9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W265"/>
  <sheetViews>
    <sheetView showGridLines="0" workbookViewId="0">
      <selection activeCell="F8" sqref="F8"/>
    </sheetView>
  </sheetViews>
  <sheetFormatPr baseColWidth="10" defaultRowHeight="12.75" x14ac:dyDescent="0.2"/>
  <cols>
    <col min="1" max="1" width="10.7109375" style="85" customWidth="1"/>
    <col min="2" max="2" width="50.140625" style="4" bestFit="1" customWidth="1"/>
    <col min="3" max="3" width="11.7109375" style="35" bestFit="1" customWidth="1"/>
    <col min="4" max="13" width="10.28515625" style="4" customWidth="1"/>
    <col min="14" max="14" width="13.42578125" style="417" customWidth="1"/>
    <col min="15" max="15" width="11" style="422" customWidth="1"/>
    <col min="16" max="16" width="8.85546875" style="425" customWidth="1"/>
    <col min="17" max="17" width="8.85546875" style="429" customWidth="1"/>
    <col min="18" max="18" width="10" style="431" customWidth="1"/>
    <col min="19" max="19" width="9.28515625" style="435" customWidth="1"/>
    <col min="20" max="20" width="9.28515625" style="437" customWidth="1"/>
    <col min="21" max="21" width="8.85546875" style="440" customWidth="1"/>
    <col min="22" max="22" width="11.42578125" style="462"/>
    <col min="23" max="16384" width="11.42578125" style="4"/>
  </cols>
  <sheetData>
    <row r="1" spans="1:22" ht="18.75" x14ac:dyDescent="0.2">
      <c r="A1" s="540" t="s">
        <v>406</v>
      </c>
      <c r="B1" s="541"/>
      <c r="C1" s="541"/>
      <c r="D1" s="541"/>
      <c r="E1" s="510"/>
      <c r="F1" s="510"/>
      <c r="G1" s="510"/>
      <c r="H1" s="510"/>
      <c r="I1" s="510"/>
      <c r="J1" s="510"/>
      <c r="K1" s="510"/>
      <c r="L1" s="510"/>
      <c r="M1" s="510"/>
    </row>
    <row r="2" spans="1:22" ht="15" x14ac:dyDescent="0.2">
      <c r="A2" s="542" t="s">
        <v>931</v>
      </c>
      <c r="B2" s="539"/>
      <c r="C2" s="539"/>
      <c r="D2" s="539"/>
      <c r="E2" s="511"/>
      <c r="F2" s="511"/>
      <c r="G2" s="511"/>
      <c r="H2" s="511"/>
      <c r="I2" s="511"/>
      <c r="J2" s="511"/>
      <c r="K2" s="511"/>
      <c r="L2" s="511"/>
      <c r="M2" s="511"/>
    </row>
    <row r="3" spans="1:22" x14ac:dyDescent="0.2">
      <c r="A3" s="333">
        <v>2</v>
      </c>
      <c r="B3" s="354" t="s">
        <v>97</v>
      </c>
      <c r="C3" s="334"/>
      <c r="D3" s="334"/>
      <c r="E3" s="334"/>
      <c r="F3" s="334"/>
      <c r="G3" s="334"/>
      <c r="H3" s="334"/>
      <c r="I3" s="334"/>
      <c r="J3" s="334"/>
      <c r="K3" s="334"/>
      <c r="L3" s="334"/>
      <c r="M3" s="334"/>
    </row>
    <row r="4" spans="1:22" x14ac:dyDescent="0.2">
      <c r="A4" s="336">
        <v>2.2000000000000002</v>
      </c>
      <c r="B4" s="337" t="s">
        <v>419</v>
      </c>
      <c r="C4" s="334"/>
      <c r="D4" s="334"/>
      <c r="E4" s="334"/>
      <c r="F4" s="334"/>
      <c r="G4" s="334"/>
      <c r="H4" s="334"/>
      <c r="I4" s="334"/>
      <c r="J4" s="334"/>
      <c r="K4" s="334"/>
      <c r="L4" s="334"/>
      <c r="M4" s="334"/>
    </row>
    <row r="5" spans="1:22" x14ac:dyDescent="0.2">
      <c r="A5" s="336" t="s">
        <v>446</v>
      </c>
      <c r="B5" s="337" t="s">
        <v>419</v>
      </c>
      <c r="C5" s="356"/>
      <c r="D5" s="340"/>
      <c r="E5" s="340"/>
      <c r="F5" s="340"/>
      <c r="G5" s="340"/>
      <c r="H5" s="340"/>
      <c r="I5" s="340"/>
      <c r="J5" s="340"/>
      <c r="K5" s="340"/>
      <c r="L5" s="340"/>
      <c r="M5" s="340"/>
    </row>
    <row r="6" spans="1:22" s="17" customFormat="1" ht="22.5" customHeight="1" x14ac:dyDescent="0.2">
      <c r="A6" s="30" t="s">
        <v>5</v>
      </c>
      <c r="B6" s="15" t="s">
        <v>6</v>
      </c>
      <c r="C6" s="32" t="s">
        <v>400</v>
      </c>
      <c r="D6" s="33" t="s">
        <v>7</v>
      </c>
      <c r="E6" s="520"/>
      <c r="F6" s="520"/>
      <c r="G6" s="520"/>
      <c r="H6" s="520"/>
      <c r="I6" s="520"/>
      <c r="J6" s="520"/>
      <c r="K6" s="520"/>
      <c r="L6" s="520"/>
      <c r="M6" s="520"/>
      <c r="N6" s="418">
        <f>C13+C14+C16+C17+C19+C20+C22+C23+C30+C31+C41</f>
        <v>526165.34000000008</v>
      </c>
      <c r="O6" s="423">
        <f>C13+C14+C16+C17+C19+C20+C22+C23+C30+C31+C41</f>
        <v>526165.34000000008</v>
      </c>
      <c r="P6" s="426"/>
      <c r="Q6" s="428"/>
      <c r="R6" s="432"/>
      <c r="S6" s="434"/>
      <c r="T6" s="438"/>
      <c r="U6" s="441"/>
      <c r="V6" s="463"/>
    </row>
    <row r="7" spans="1:22" s="17" customFormat="1" x14ac:dyDescent="0.2">
      <c r="A7" s="30"/>
      <c r="B7" s="15"/>
      <c r="C7" s="32"/>
      <c r="D7" s="33"/>
      <c r="E7" s="520"/>
      <c r="F7" s="520"/>
      <c r="G7" s="520"/>
      <c r="H7" s="520"/>
      <c r="I7" s="520"/>
      <c r="J7" s="520"/>
      <c r="K7" s="520"/>
      <c r="L7" s="520"/>
      <c r="M7" s="520"/>
      <c r="N7" s="418"/>
      <c r="O7" s="423"/>
      <c r="P7" s="426"/>
      <c r="Q7" s="428"/>
      <c r="R7" s="432"/>
      <c r="S7" s="434"/>
      <c r="T7" s="438"/>
      <c r="U7" s="441"/>
      <c r="V7" s="463"/>
    </row>
    <row r="8" spans="1:22" x14ac:dyDescent="0.2">
      <c r="A8" s="54"/>
      <c r="B8" s="56" t="s">
        <v>7</v>
      </c>
      <c r="C8" s="40">
        <f>SUM(C9:C58)</f>
        <v>787301.15000000014</v>
      </c>
      <c r="D8" s="40">
        <f>+D9+D55</f>
        <v>787301.15000000014</v>
      </c>
      <c r="E8" s="124"/>
      <c r="F8" s="124"/>
      <c r="G8" s="124"/>
      <c r="H8" s="124"/>
      <c r="I8" s="124"/>
      <c r="J8" s="124"/>
      <c r="K8" s="124"/>
      <c r="L8" s="124"/>
      <c r="M8" s="124"/>
      <c r="N8" s="535">
        <f>D8-C8</f>
        <v>0</v>
      </c>
      <c r="O8" s="535">
        <f>D8-N50</f>
        <v>776165.34000000008</v>
      </c>
      <c r="P8" s="535"/>
      <c r="Q8" s="535"/>
      <c r="R8" s="535"/>
      <c r="S8" s="535"/>
      <c r="T8" s="535"/>
      <c r="U8" s="4"/>
      <c r="V8" s="4"/>
    </row>
    <row r="9" spans="1:22" x14ac:dyDescent="0.2">
      <c r="A9" s="54">
        <v>7</v>
      </c>
      <c r="B9" s="56" t="s">
        <v>86</v>
      </c>
      <c r="C9" s="40"/>
      <c r="D9" s="40">
        <f>+D10+D34+D46+D44</f>
        <v>787301.15000000014</v>
      </c>
      <c r="E9" s="124"/>
      <c r="F9" s="124"/>
      <c r="G9" s="124"/>
      <c r="H9" s="124"/>
      <c r="I9" s="124"/>
      <c r="J9" s="124"/>
      <c r="K9" s="124"/>
      <c r="L9" s="124"/>
      <c r="M9" s="124"/>
    </row>
    <row r="10" spans="1:22" x14ac:dyDescent="0.2">
      <c r="A10" s="42">
        <v>7.1</v>
      </c>
      <c r="B10" s="43" t="s">
        <v>9</v>
      </c>
      <c r="C10" s="41"/>
      <c r="D10" s="40">
        <f>D11+D15+D18+D21+D25+D29</f>
        <v>521636.34000000008</v>
      </c>
      <c r="E10" s="124"/>
      <c r="F10" s="124"/>
      <c r="G10" s="124"/>
      <c r="H10" s="124"/>
      <c r="I10" s="124"/>
      <c r="J10" s="124"/>
      <c r="K10" s="124"/>
      <c r="L10" s="124"/>
      <c r="M10" s="124"/>
    </row>
    <row r="11" spans="1:22" x14ac:dyDescent="0.2">
      <c r="A11" s="42" t="s">
        <v>151</v>
      </c>
      <c r="B11" s="43" t="s">
        <v>11</v>
      </c>
      <c r="C11" s="40"/>
      <c r="D11" s="40">
        <f>SUM(C13:C14)</f>
        <v>383096.41000000003</v>
      </c>
      <c r="E11" s="124"/>
      <c r="F11" s="124"/>
      <c r="G11" s="124"/>
      <c r="H11" s="124"/>
      <c r="I11" s="124"/>
      <c r="J11" s="124"/>
      <c r="K11" s="124"/>
      <c r="L11" s="124"/>
      <c r="M11" s="124"/>
    </row>
    <row r="12" spans="1:22" x14ac:dyDescent="0.2">
      <c r="A12" s="45" t="s">
        <v>262</v>
      </c>
      <c r="B12" s="46" t="s">
        <v>833</v>
      </c>
      <c r="C12" s="41"/>
      <c r="D12" s="41"/>
      <c r="E12" s="13"/>
      <c r="F12" s="13"/>
      <c r="G12" s="13"/>
      <c r="H12" s="13"/>
      <c r="I12" s="13"/>
      <c r="J12" s="13"/>
      <c r="K12" s="13"/>
      <c r="L12" s="13"/>
      <c r="M12" s="13"/>
    </row>
    <row r="13" spans="1:22" x14ac:dyDescent="0.2">
      <c r="A13" s="45" t="s">
        <v>271</v>
      </c>
      <c r="B13" s="46" t="s">
        <v>832</v>
      </c>
      <c r="C13" s="41">
        <v>277176</v>
      </c>
      <c r="D13" s="41"/>
      <c r="E13" s="13"/>
      <c r="F13" s="13"/>
      <c r="G13" s="13"/>
      <c r="H13" s="13"/>
      <c r="I13" s="13"/>
      <c r="J13" s="13"/>
      <c r="K13" s="13"/>
      <c r="L13" s="13"/>
      <c r="M13" s="13"/>
      <c r="N13" s="469">
        <f>C13+C16+C17+C30+C31+C41</f>
        <v>405597.93000000005</v>
      </c>
    </row>
    <row r="14" spans="1:22" x14ac:dyDescent="0.2">
      <c r="A14" s="45" t="s">
        <v>770</v>
      </c>
      <c r="B14" s="46" t="s">
        <v>831</v>
      </c>
      <c r="C14" s="47">
        <v>105920.41</v>
      </c>
      <c r="D14" s="44"/>
      <c r="E14" s="125"/>
      <c r="F14" s="125"/>
      <c r="G14" s="125"/>
      <c r="H14" s="125"/>
      <c r="I14" s="125"/>
      <c r="J14" s="125"/>
      <c r="K14" s="125"/>
      <c r="L14" s="125"/>
      <c r="M14" s="125"/>
      <c r="N14" s="417">
        <f>C14+8826.7+5233.8+C19+C20+C22+C23+12869.33+8826.7+2197</f>
        <v>158520.94</v>
      </c>
    </row>
    <row r="15" spans="1:22" x14ac:dyDescent="0.2">
      <c r="A15" s="42" t="s">
        <v>265</v>
      </c>
      <c r="B15" s="43" t="s">
        <v>253</v>
      </c>
      <c r="C15" s="47"/>
      <c r="D15" s="44">
        <f>SUM(C16:C17)</f>
        <v>44807.9</v>
      </c>
      <c r="E15" s="125"/>
      <c r="F15" s="125"/>
      <c r="G15" s="125"/>
      <c r="H15" s="125"/>
      <c r="I15" s="125"/>
      <c r="J15" s="125"/>
      <c r="K15" s="125"/>
      <c r="L15" s="125"/>
      <c r="M15" s="125"/>
    </row>
    <row r="16" spans="1:22" x14ac:dyDescent="0.2">
      <c r="A16" s="45" t="s">
        <v>263</v>
      </c>
      <c r="B16" s="46" t="s">
        <v>255</v>
      </c>
      <c r="C16" s="47">
        <f>23098+8826.7</f>
        <v>31924.7</v>
      </c>
      <c r="D16" s="47"/>
      <c r="E16" s="205"/>
      <c r="F16" s="205"/>
      <c r="G16" s="205"/>
      <c r="H16" s="205"/>
      <c r="I16" s="205"/>
      <c r="J16" s="205"/>
      <c r="K16" s="205"/>
      <c r="L16" s="205"/>
      <c r="M16" s="205"/>
      <c r="O16" s="422">
        <f>D9+D78+D88+D171</f>
        <v>2150795.42</v>
      </c>
    </row>
    <row r="17" spans="1:16" x14ac:dyDescent="0.2">
      <c r="A17" s="45" t="s">
        <v>264</v>
      </c>
      <c r="B17" s="46" t="s">
        <v>257</v>
      </c>
      <c r="C17" s="47">
        <f>7649.4+5233.8</f>
        <v>12883.2</v>
      </c>
      <c r="D17" s="47"/>
      <c r="E17" s="205"/>
      <c r="F17" s="205"/>
      <c r="G17" s="205"/>
      <c r="H17" s="205"/>
      <c r="I17" s="205"/>
      <c r="J17" s="205"/>
      <c r="K17" s="205"/>
      <c r="L17" s="205"/>
      <c r="M17" s="205"/>
    </row>
    <row r="18" spans="1:16" x14ac:dyDescent="0.2">
      <c r="A18" s="54" t="s">
        <v>464</v>
      </c>
      <c r="B18" s="56" t="s">
        <v>350</v>
      </c>
      <c r="C18" s="40"/>
      <c r="D18" s="40">
        <f>SUM(C19:C20)</f>
        <v>10920</v>
      </c>
      <c r="E18" s="124"/>
      <c r="F18" s="124"/>
      <c r="G18" s="124"/>
      <c r="H18" s="124"/>
      <c r="I18" s="124"/>
      <c r="J18" s="124"/>
      <c r="K18" s="124"/>
      <c r="L18" s="124"/>
      <c r="M18" s="124"/>
    </row>
    <row r="19" spans="1:16" x14ac:dyDescent="0.2">
      <c r="A19" s="57" t="s">
        <v>771</v>
      </c>
      <c r="B19" s="58" t="s">
        <v>509</v>
      </c>
      <c r="C19" s="41">
        <v>1560</v>
      </c>
      <c r="D19" s="40"/>
      <c r="E19" s="124"/>
      <c r="F19" s="124"/>
      <c r="G19" s="124"/>
      <c r="H19" s="124"/>
      <c r="I19" s="124"/>
      <c r="J19" s="124"/>
      <c r="K19" s="124"/>
      <c r="L19" s="124"/>
      <c r="M19" s="124"/>
    </row>
    <row r="20" spans="1:16" x14ac:dyDescent="0.2">
      <c r="A20" s="57" t="s">
        <v>465</v>
      </c>
      <c r="B20" s="58" t="s">
        <v>839</v>
      </c>
      <c r="C20" s="41">
        <v>9360</v>
      </c>
      <c r="D20" s="40"/>
      <c r="E20" s="124"/>
      <c r="F20" s="124"/>
      <c r="G20" s="124"/>
      <c r="H20" s="124"/>
      <c r="I20" s="124"/>
      <c r="J20" s="124"/>
      <c r="K20" s="124"/>
      <c r="L20" s="124"/>
      <c r="M20" s="124"/>
    </row>
    <row r="21" spans="1:16" x14ac:dyDescent="0.2">
      <c r="A21" s="42" t="s">
        <v>188</v>
      </c>
      <c r="B21" s="59" t="s">
        <v>185</v>
      </c>
      <c r="C21" s="41"/>
      <c r="D21" s="40">
        <f>SUM(C22:C23)</f>
        <v>3727</v>
      </c>
      <c r="E21" s="124"/>
      <c r="F21" s="124"/>
      <c r="G21" s="124"/>
      <c r="H21" s="124"/>
      <c r="I21" s="124"/>
      <c r="J21" s="124"/>
      <c r="K21" s="124"/>
      <c r="L21" s="124"/>
      <c r="M21" s="124"/>
    </row>
    <row r="22" spans="1:16" x14ac:dyDescent="0.2">
      <c r="A22" s="45" t="s">
        <v>278</v>
      </c>
      <c r="B22" s="60" t="s">
        <v>719</v>
      </c>
      <c r="C22" s="61">
        <v>1304.42</v>
      </c>
      <c r="D22" s="41"/>
      <c r="E22" s="13"/>
      <c r="F22" s="13"/>
      <c r="G22" s="13"/>
      <c r="H22" s="13"/>
      <c r="I22" s="13"/>
      <c r="J22" s="13"/>
      <c r="K22" s="13"/>
      <c r="L22" s="13"/>
      <c r="M22" s="13"/>
      <c r="P22" s="425">
        <f>D10+D89</f>
        <v>521636.34000000008</v>
      </c>
    </row>
    <row r="23" spans="1:16" x14ac:dyDescent="0.2">
      <c r="A23" s="45" t="s">
        <v>481</v>
      </c>
      <c r="B23" s="46" t="s">
        <v>480</v>
      </c>
      <c r="C23" s="41">
        <v>2422.58</v>
      </c>
      <c r="D23" s="40"/>
      <c r="E23" s="124"/>
      <c r="F23" s="124"/>
      <c r="G23" s="124"/>
      <c r="H23" s="124"/>
      <c r="I23" s="124"/>
      <c r="J23" s="124"/>
      <c r="K23" s="124"/>
      <c r="L23" s="124"/>
      <c r="M23" s="124"/>
    </row>
    <row r="24" spans="1:16" x14ac:dyDescent="0.2">
      <c r="A24" s="42" t="s">
        <v>268</v>
      </c>
      <c r="B24" s="43" t="s">
        <v>186</v>
      </c>
      <c r="C24" s="61"/>
      <c r="D24" s="58"/>
      <c r="E24" s="23"/>
      <c r="F24" s="23"/>
      <c r="G24" s="23"/>
      <c r="H24" s="23"/>
      <c r="I24" s="23"/>
      <c r="J24" s="23"/>
      <c r="K24" s="23"/>
      <c r="L24" s="23"/>
      <c r="M24" s="23"/>
    </row>
    <row r="25" spans="1:16" x14ac:dyDescent="0.2">
      <c r="A25" s="42" t="s">
        <v>772</v>
      </c>
      <c r="B25" s="43" t="s">
        <v>829</v>
      </c>
      <c r="C25" s="47"/>
      <c r="D25" s="44">
        <f>SUM(C26:C28)</f>
        <v>2000</v>
      </c>
      <c r="E25" s="125"/>
      <c r="F25" s="125"/>
      <c r="G25" s="125"/>
      <c r="H25" s="125"/>
      <c r="I25" s="125"/>
      <c r="J25" s="125"/>
      <c r="K25" s="125"/>
      <c r="L25" s="125"/>
      <c r="M25" s="125"/>
    </row>
    <row r="26" spans="1:16" x14ac:dyDescent="0.2">
      <c r="A26" s="45" t="s">
        <v>269</v>
      </c>
      <c r="B26" s="46" t="s">
        <v>259</v>
      </c>
      <c r="C26" s="48">
        <v>2000</v>
      </c>
      <c r="D26" s="49"/>
      <c r="E26" s="521"/>
      <c r="F26" s="521"/>
      <c r="G26" s="521"/>
      <c r="H26" s="521"/>
      <c r="I26" s="521"/>
      <c r="J26" s="521"/>
      <c r="K26" s="521"/>
      <c r="L26" s="521"/>
      <c r="M26" s="521"/>
    </row>
    <row r="27" spans="1:16" x14ac:dyDescent="0.2">
      <c r="A27" s="45" t="s">
        <v>675</v>
      </c>
      <c r="B27" s="46" t="s">
        <v>676</v>
      </c>
      <c r="C27" s="48"/>
      <c r="D27" s="49"/>
      <c r="E27" s="521"/>
      <c r="F27" s="521"/>
      <c r="G27" s="521"/>
      <c r="H27" s="521"/>
      <c r="I27" s="521"/>
      <c r="J27" s="521"/>
      <c r="K27" s="521"/>
      <c r="L27" s="521"/>
      <c r="M27" s="521"/>
    </row>
    <row r="28" spans="1:16" x14ac:dyDescent="0.2">
      <c r="A28" s="45" t="s">
        <v>707</v>
      </c>
      <c r="B28" s="46" t="s">
        <v>543</v>
      </c>
      <c r="C28" s="48"/>
      <c r="D28" s="49"/>
      <c r="E28" s="521"/>
      <c r="F28" s="521"/>
      <c r="G28" s="521"/>
      <c r="H28" s="521"/>
      <c r="I28" s="521"/>
      <c r="J28" s="521"/>
      <c r="K28" s="521"/>
      <c r="L28" s="521"/>
      <c r="M28" s="521"/>
    </row>
    <row r="29" spans="1:16" x14ac:dyDescent="0.2">
      <c r="A29" s="42" t="s">
        <v>266</v>
      </c>
      <c r="B29" s="43" t="s">
        <v>13</v>
      </c>
      <c r="C29" s="48"/>
      <c r="D29" s="216">
        <f>SUM(C30:C31)</f>
        <v>77085.03</v>
      </c>
      <c r="E29" s="522"/>
      <c r="F29" s="522"/>
      <c r="G29" s="522"/>
      <c r="H29" s="522"/>
      <c r="I29" s="522"/>
      <c r="J29" s="522"/>
      <c r="K29" s="522"/>
      <c r="L29" s="522"/>
      <c r="M29" s="522"/>
    </row>
    <row r="30" spans="1:16" x14ac:dyDescent="0.2">
      <c r="A30" s="45" t="s">
        <v>267</v>
      </c>
      <c r="B30" s="46" t="s">
        <v>261</v>
      </c>
      <c r="C30" s="48">
        <f>32291+12869.33</f>
        <v>45160.33</v>
      </c>
      <c r="D30" s="49"/>
      <c r="E30" s="521"/>
      <c r="F30" s="521"/>
      <c r="G30" s="521"/>
      <c r="H30" s="521"/>
      <c r="I30" s="521"/>
      <c r="J30" s="521"/>
      <c r="K30" s="521"/>
      <c r="L30" s="521"/>
      <c r="M30" s="521"/>
    </row>
    <row r="31" spans="1:16" x14ac:dyDescent="0.2">
      <c r="A31" s="45" t="s">
        <v>705</v>
      </c>
      <c r="B31" s="46" t="s">
        <v>700</v>
      </c>
      <c r="C31" s="48">
        <f>23098+8826.7</f>
        <v>31924.7</v>
      </c>
      <c r="D31" s="49"/>
      <c r="E31" s="521"/>
      <c r="F31" s="521"/>
      <c r="G31" s="521"/>
      <c r="H31" s="521"/>
      <c r="I31" s="521"/>
      <c r="J31" s="521"/>
      <c r="K31" s="521"/>
      <c r="L31" s="521"/>
      <c r="M31" s="521"/>
    </row>
    <row r="32" spans="1:16" x14ac:dyDescent="0.2">
      <c r="A32" s="42" t="s">
        <v>619</v>
      </c>
      <c r="B32" s="43" t="s">
        <v>303</v>
      </c>
      <c r="C32" s="48"/>
      <c r="D32" s="49"/>
      <c r="E32" s="521"/>
      <c r="F32" s="521"/>
      <c r="G32" s="521"/>
      <c r="H32" s="521"/>
      <c r="I32" s="521"/>
      <c r="J32" s="521"/>
      <c r="K32" s="521"/>
      <c r="L32" s="521"/>
      <c r="M32" s="521"/>
    </row>
    <row r="33" spans="1:13" x14ac:dyDescent="0.2">
      <c r="A33" s="45" t="s">
        <v>620</v>
      </c>
      <c r="B33" s="46" t="s">
        <v>776</v>
      </c>
      <c r="C33" s="48"/>
      <c r="D33" s="49"/>
      <c r="E33" s="521"/>
      <c r="F33" s="521"/>
      <c r="G33" s="521"/>
      <c r="H33" s="521"/>
      <c r="I33" s="521"/>
      <c r="J33" s="521"/>
      <c r="K33" s="521"/>
      <c r="L33" s="521"/>
      <c r="M33" s="521"/>
    </row>
    <row r="34" spans="1:13" x14ac:dyDescent="0.2">
      <c r="A34" s="54">
        <v>7.3</v>
      </c>
      <c r="B34" s="56" t="s">
        <v>609</v>
      </c>
      <c r="C34" s="41"/>
      <c r="D34" s="40">
        <f>D35+D37+D40</f>
        <v>9529</v>
      </c>
      <c r="E34" s="124"/>
      <c r="F34" s="124"/>
      <c r="G34" s="124"/>
      <c r="H34" s="124"/>
      <c r="I34" s="124"/>
      <c r="J34" s="124"/>
      <c r="K34" s="124"/>
      <c r="L34" s="124"/>
      <c r="M34" s="124"/>
    </row>
    <row r="35" spans="1:13" x14ac:dyDescent="0.2">
      <c r="A35" s="54" t="s">
        <v>3</v>
      </c>
      <c r="B35" s="56" t="s">
        <v>16</v>
      </c>
      <c r="C35" s="40"/>
      <c r="D35" s="40">
        <f>+C36</f>
        <v>2000</v>
      </c>
      <c r="E35" s="124"/>
      <c r="F35" s="124"/>
      <c r="G35" s="124"/>
      <c r="H35" s="124"/>
      <c r="I35" s="124"/>
      <c r="J35" s="124"/>
      <c r="K35" s="124"/>
      <c r="L35" s="124"/>
      <c r="M35" s="124"/>
    </row>
    <row r="36" spans="1:13" x14ac:dyDescent="0.2">
      <c r="A36" s="57" t="s">
        <v>0</v>
      </c>
      <c r="B36" s="58" t="s">
        <v>20</v>
      </c>
      <c r="C36" s="41">
        <v>2000</v>
      </c>
      <c r="D36" s="40"/>
      <c r="E36" s="124"/>
      <c r="F36" s="124"/>
      <c r="G36" s="124"/>
      <c r="H36" s="124"/>
      <c r="I36" s="124"/>
      <c r="J36" s="124"/>
      <c r="K36" s="124"/>
      <c r="L36" s="124"/>
      <c r="M36" s="124"/>
    </row>
    <row r="37" spans="1:13" x14ac:dyDescent="0.2">
      <c r="A37" s="54" t="s">
        <v>153</v>
      </c>
      <c r="B37" s="56" t="s">
        <v>34</v>
      </c>
      <c r="C37" s="40"/>
      <c r="D37" s="40">
        <f>+C38+C39</f>
        <v>1000</v>
      </c>
      <c r="E37" s="124"/>
      <c r="F37" s="124"/>
      <c r="G37" s="124"/>
      <c r="H37" s="124"/>
      <c r="I37" s="124"/>
      <c r="J37" s="124"/>
      <c r="K37" s="124"/>
      <c r="L37" s="124"/>
      <c r="M37" s="124"/>
    </row>
    <row r="38" spans="1:13" x14ac:dyDescent="0.2">
      <c r="A38" s="57" t="s">
        <v>154</v>
      </c>
      <c r="B38" s="58" t="s">
        <v>840</v>
      </c>
      <c r="C38" s="41">
        <v>500</v>
      </c>
      <c r="D38" s="41"/>
      <c r="E38" s="13"/>
      <c r="F38" s="13"/>
      <c r="G38" s="13"/>
      <c r="H38" s="13"/>
      <c r="I38" s="13"/>
      <c r="J38" s="13"/>
      <c r="K38" s="13"/>
      <c r="L38" s="13"/>
      <c r="M38" s="13"/>
    </row>
    <row r="39" spans="1:13" x14ac:dyDescent="0.2">
      <c r="A39" s="57" t="s">
        <v>155</v>
      </c>
      <c r="B39" s="58" t="s">
        <v>841</v>
      </c>
      <c r="C39" s="41">
        <v>500</v>
      </c>
      <c r="D39" s="41"/>
      <c r="E39" s="13"/>
      <c r="F39" s="13"/>
      <c r="G39" s="13"/>
      <c r="H39" s="13"/>
      <c r="I39" s="13"/>
      <c r="J39" s="13"/>
      <c r="K39" s="13"/>
      <c r="L39" s="13"/>
      <c r="M39" s="13"/>
    </row>
    <row r="40" spans="1:13" x14ac:dyDescent="0.2">
      <c r="A40" s="54" t="s">
        <v>159</v>
      </c>
      <c r="B40" s="56" t="s">
        <v>633</v>
      </c>
      <c r="C40" s="41"/>
      <c r="D40" s="40">
        <f>+C41</f>
        <v>6529</v>
      </c>
      <c r="E40" s="124"/>
      <c r="F40" s="124"/>
      <c r="G40" s="124"/>
      <c r="H40" s="124"/>
      <c r="I40" s="124"/>
      <c r="J40" s="124"/>
      <c r="K40" s="124"/>
      <c r="L40" s="124"/>
      <c r="M40" s="124"/>
    </row>
    <row r="41" spans="1:13" x14ac:dyDescent="0.2">
      <c r="A41" s="57" t="s">
        <v>160</v>
      </c>
      <c r="B41" s="58" t="s">
        <v>837</v>
      </c>
      <c r="C41" s="41">
        <f>4332+2197</f>
        <v>6529</v>
      </c>
      <c r="D41" s="40"/>
      <c r="E41" s="124"/>
      <c r="F41" s="124"/>
      <c r="G41" s="124"/>
      <c r="H41" s="124"/>
      <c r="I41" s="124"/>
      <c r="J41" s="124"/>
      <c r="K41" s="124"/>
      <c r="L41" s="124"/>
      <c r="M41" s="124"/>
    </row>
    <row r="42" spans="1:13" x14ac:dyDescent="0.2">
      <c r="A42" s="54">
        <v>7.5</v>
      </c>
      <c r="B42" s="56" t="s">
        <v>87</v>
      </c>
      <c r="C42" s="41"/>
      <c r="D42" s="40">
        <f>SUM(D44)</f>
        <v>60000</v>
      </c>
      <c r="E42" s="124"/>
      <c r="F42" s="124"/>
      <c r="G42" s="124"/>
      <c r="H42" s="124"/>
      <c r="I42" s="124"/>
      <c r="J42" s="124"/>
      <c r="K42" s="124"/>
      <c r="L42" s="124"/>
      <c r="M42" s="124"/>
    </row>
    <row r="43" spans="1:13" x14ac:dyDescent="0.2">
      <c r="A43" s="54" t="s">
        <v>88</v>
      </c>
      <c r="B43" s="56" t="s">
        <v>697</v>
      </c>
      <c r="C43" s="41"/>
      <c r="D43" s="40"/>
      <c r="E43" s="124"/>
      <c r="F43" s="124"/>
      <c r="G43" s="124"/>
      <c r="H43" s="124"/>
      <c r="I43" s="124"/>
      <c r="J43" s="124"/>
      <c r="K43" s="124"/>
      <c r="L43" s="124"/>
      <c r="M43" s="124"/>
    </row>
    <row r="44" spans="1:13" x14ac:dyDescent="0.2">
      <c r="A44" s="54" t="s">
        <v>698</v>
      </c>
      <c r="B44" s="56" t="s">
        <v>704</v>
      </c>
      <c r="C44" s="41"/>
      <c r="D44" s="40">
        <f>SUM(C45)</f>
        <v>60000</v>
      </c>
      <c r="E44" s="124"/>
      <c r="F44" s="124"/>
      <c r="G44" s="124"/>
      <c r="H44" s="124"/>
      <c r="I44" s="124"/>
      <c r="J44" s="124"/>
      <c r="K44" s="124"/>
      <c r="L44" s="124"/>
      <c r="M44" s="124"/>
    </row>
    <row r="45" spans="1:13" x14ac:dyDescent="0.2">
      <c r="A45" s="57" t="s">
        <v>703</v>
      </c>
      <c r="B45" s="58" t="s">
        <v>775</v>
      </c>
      <c r="C45" s="41">
        <v>60000</v>
      </c>
      <c r="D45" s="40"/>
      <c r="E45" s="124"/>
      <c r="F45" s="124"/>
      <c r="G45" s="124"/>
      <c r="H45" s="124"/>
      <c r="I45" s="124"/>
      <c r="J45" s="124"/>
      <c r="K45" s="124"/>
      <c r="L45" s="124"/>
      <c r="M45" s="124"/>
    </row>
    <row r="46" spans="1:13" x14ac:dyDescent="0.2">
      <c r="A46" s="54">
        <v>7.8</v>
      </c>
      <c r="B46" s="56" t="s">
        <v>90</v>
      </c>
      <c r="C46" s="40"/>
      <c r="D46" s="40">
        <f>+D47</f>
        <v>196135.81</v>
      </c>
      <c r="E46" s="124"/>
      <c r="F46" s="124"/>
      <c r="G46" s="124"/>
      <c r="H46" s="124"/>
      <c r="I46" s="124"/>
      <c r="J46" s="124"/>
      <c r="K46" s="124"/>
      <c r="L46" s="124"/>
      <c r="M46" s="124"/>
    </row>
    <row r="47" spans="1:13" x14ac:dyDescent="0.2">
      <c r="A47" s="54" t="s">
        <v>248</v>
      </c>
      <c r="B47" s="56" t="s">
        <v>92</v>
      </c>
      <c r="C47" s="40"/>
      <c r="D47" s="40">
        <f>SUM(C49:C54)</f>
        <v>196135.81</v>
      </c>
      <c r="E47" s="124"/>
      <c r="F47" s="124"/>
      <c r="G47" s="124"/>
      <c r="H47" s="124"/>
      <c r="I47" s="124"/>
      <c r="J47" s="124"/>
      <c r="K47" s="124"/>
      <c r="L47" s="124"/>
      <c r="M47" s="124"/>
    </row>
    <row r="48" spans="1:13" x14ac:dyDescent="0.2">
      <c r="A48" s="54" t="s">
        <v>249</v>
      </c>
      <c r="B48" s="56" t="s">
        <v>93</v>
      </c>
      <c r="C48" s="41"/>
      <c r="D48" s="41"/>
      <c r="E48" s="13"/>
      <c r="F48" s="13"/>
      <c r="G48" s="13"/>
      <c r="H48" s="13"/>
      <c r="I48" s="13"/>
      <c r="J48" s="13"/>
      <c r="K48" s="13"/>
      <c r="L48" s="13"/>
      <c r="M48" s="13"/>
    </row>
    <row r="49" spans="1:22" s="81" customFormat="1" ht="22.5" x14ac:dyDescent="0.2">
      <c r="A49" s="52" t="s">
        <v>250</v>
      </c>
      <c r="B49" s="66" t="s">
        <v>287</v>
      </c>
      <c r="C49" s="65">
        <v>0</v>
      </c>
      <c r="D49" s="65"/>
      <c r="E49" s="80"/>
      <c r="F49" s="80"/>
      <c r="G49" s="80"/>
      <c r="H49" s="80"/>
      <c r="I49" s="80"/>
      <c r="J49" s="80"/>
      <c r="K49" s="80"/>
      <c r="L49" s="80"/>
      <c r="M49" s="80"/>
      <c r="N49" s="419"/>
      <c r="O49" s="424"/>
      <c r="P49" s="427"/>
      <c r="Q49" s="430"/>
      <c r="R49" s="433"/>
      <c r="S49" s="436"/>
      <c r="T49" s="439"/>
      <c r="U49" s="442"/>
      <c r="V49" s="464"/>
    </row>
    <row r="50" spans="1:22" ht="22.5" x14ac:dyDescent="0.2">
      <c r="A50" s="52" t="s">
        <v>288</v>
      </c>
      <c r="B50" s="60" t="s">
        <v>612</v>
      </c>
      <c r="C50" s="53">
        <v>83135.81</v>
      </c>
      <c r="D50" s="41"/>
      <c r="E50" s="13"/>
      <c r="F50" s="13"/>
      <c r="G50" s="13"/>
      <c r="H50" s="13"/>
      <c r="I50" s="13"/>
      <c r="J50" s="13"/>
      <c r="K50" s="13"/>
      <c r="L50" s="13"/>
      <c r="M50" s="13"/>
      <c r="N50" s="417">
        <f>C50-72000</f>
        <v>11135.809999999998</v>
      </c>
    </row>
    <row r="51" spans="1:22" x14ac:dyDescent="0.2">
      <c r="A51" s="52" t="s">
        <v>336</v>
      </c>
      <c r="B51" s="62" t="s">
        <v>273</v>
      </c>
      <c r="C51" s="53">
        <v>60000</v>
      </c>
      <c r="D51" s="41"/>
      <c r="E51" s="13"/>
      <c r="F51" s="13"/>
      <c r="G51" s="13"/>
      <c r="H51" s="13"/>
      <c r="I51" s="13"/>
      <c r="J51" s="13"/>
      <c r="K51" s="13"/>
      <c r="L51" s="13"/>
      <c r="M51" s="13"/>
      <c r="N51" s="420"/>
    </row>
    <row r="52" spans="1:22" x14ac:dyDescent="0.2">
      <c r="A52" s="52" t="s">
        <v>337</v>
      </c>
      <c r="B52" s="62" t="s">
        <v>824</v>
      </c>
      <c r="C52" s="53">
        <f>30000+20000</f>
        <v>50000</v>
      </c>
      <c r="D52" s="41"/>
      <c r="E52" s="13"/>
      <c r="F52" s="13"/>
      <c r="G52" s="13"/>
      <c r="H52" s="13"/>
      <c r="I52" s="13"/>
      <c r="J52" s="13"/>
      <c r="K52" s="13"/>
      <c r="L52" s="13"/>
      <c r="M52" s="13"/>
    </row>
    <row r="53" spans="1:22" x14ac:dyDescent="0.2">
      <c r="A53" s="52" t="s">
        <v>614</v>
      </c>
      <c r="B53" s="62" t="s">
        <v>615</v>
      </c>
      <c r="C53" s="53">
        <v>0</v>
      </c>
      <c r="D53" s="41"/>
      <c r="E53" s="13"/>
      <c r="F53" s="13"/>
      <c r="G53" s="13"/>
      <c r="H53" s="13"/>
      <c r="I53" s="13"/>
      <c r="J53" s="13"/>
      <c r="K53" s="13"/>
      <c r="L53" s="13"/>
      <c r="M53" s="13"/>
    </row>
    <row r="54" spans="1:22" x14ac:dyDescent="0.2">
      <c r="A54" s="52" t="s">
        <v>617</v>
      </c>
      <c r="B54" s="62" t="s">
        <v>618</v>
      </c>
      <c r="C54" s="53">
        <v>3000</v>
      </c>
      <c r="D54" s="41"/>
      <c r="E54" s="13"/>
      <c r="F54" s="13"/>
      <c r="G54" s="13"/>
      <c r="H54" s="13"/>
      <c r="I54" s="13"/>
      <c r="J54" s="13"/>
      <c r="K54" s="13"/>
      <c r="L54" s="13"/>
      <c r="M54" s="13"/>
    </row>
    <row r="55" spans="1:22" x14ac:dyDescent="0.2">
      <c r="A55" s="54">
        <v>8</v>
      </c>
      <c r="B55" s="56" t="s">
        <v>74</v>
      </c>
      <c r="C55" s="40"/>
      <c r="D55" s="40">
        <f>+D56</f>
        <v>0</v>
      </c>
      <c r="E55" s="124"/>
      <c r="F55" s="124"/>
      <c r="G55" s="124"/>
      <c r="H55" s="124"/>
      <c r="I55" s="124"/>
      <c r="J55" s="124"/>
      <c r="K55" s="124"/>
      <c r="L55" s="124"/>
      <c r="M55" s="124"/>
    </row>
    <row r="56" spans="1:22" x14ac:dyDescent="0.2">
      <c r="A56" s="54">
        <v>8.4</v>
      </c>
      <c r="B56" s="56" t="s">
        <v>75</v>
      </c>
      <c r="C56" s="40"/>
      <c r="D56" s="40">
        <f>+D57</f>
        <v>0</v>
      </c>
      <c r="E56" s="124"/>
      <c r="F56" s="124"/>
      <c r="G56" s="124"/>
      <c r="H56" s="124"/>
      <c r="I56" s="124"/>
      <c r="J56" s="124"/>
      <c r="K56" s="124"/>
      <c r="L56" s="124"/>
      <c r="M56" s="124"/>
    </row>
    <row r="57" spans="1:22" x14ac:dyDescent="0.2">
      <c r="A57" s="54" t="s">
        <v>76</v>
      </c>
      <c r="B57" s="56" t="s">
        <v>77</v>
      </c>
      <c r="C57" s="40"/>
      <c r="D57" s="40">
        <f>SUM(C58:C58)</f>
        <v>0</v>
      </c>
      <c r="E57" s="124"/>
      <c r="F57" s="124"/>
      <c r="G57" s="124"/>
      <c r="H57" s="124"/>
      <c r="I57" s="124"/>
      <c r="J57" s="124"/>
      <c r="K57" s="124"/>
      <c r="L57" s="124"/>
      <c r="M57" s="124"/>
    </row>
    <row r="58" spans="1:22" x14ac:dyDescent="0.2">
      <c r="A58" s="57" t="s">
        <v>79</v>
      </c>
      <c r="B58" s="58" t="s">
        <v>275</v>
      </c>
      <c r="C58" s="41">
        <v>0</v>
      </c>
      <c r="D58" s="41"/>
      <c r="E58" s="13"/>
      <c r="F58" s="13"/>
      <c r="G58" s="13"/>
      <c r="H58" s="13"/>
      <c r="I58" s="13"/>
      <c r="J58" s="13"/>
      <c r="K58" s="13"/>
      <c r="L58" s="13"/>
      <c r="M58" s="13"/>
    </row>
    <row r="59" spans="1:22" x14ac:dyDescent="0.2">
      <c r="C59" s="39"/>
      <c r="D59" s="18"/>
      <c r="E59" s="18"/>
      <c r="F59" s="18"/>
      <c r="G59" s="18"/>
      <c r="H59" s="18"/>
      <c r="I59" s="18"/>
      <c r="J59" s="18"/>
      <c r="K59" s="18"/>
      <c r="L59" s="18"/>
      <c r="M59" s="18"/>
    </row>
    <row r="60" spans="1:22" x14ac:dyDescent="0.2">
      <c r="C60" s="39">
        <f>SUM(C9:C58)</f>
        <v>787301.15000000014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</row>
    <row r="61" spans="1:22" x14ac:dyDescent="0.2">
      <c r="C61" s="39"/>
      <c r="D61" s="18"/>
      <c r="E61" s="18"/>
      <c r="F61" s="18"/>
      <c r="G61" s="18"/>
      <c r="H61" s="18"/>
      <c r="I61" s="18"/>
      <c r="J61" s="18"/>
      <c r="K61" s="18"/>
      <c r="L61" s="18"/>
      <c r="M61" s="18"/>
    </row>
    <row r="62" spans="1:22" x14ac:dyDescent="0.2">
      <c r="C62" s="39"/>
      <c r="D62" s="18"/>
      <c r="E62" s="18"/>
      <c r="F62" s="18"/>
      <c r="G62" s="18"/>
      <c r="H62" s="18"/>
      <c r="I62" s="18"/>
      <c r="J62" s="18"/>
      <c r="K62" s="18"/>
      <c r="L62" s="18"/>
      <c r="M62" s="18"/>
    </row>
    <row r="63" spans="1:22" x14ac:dyDescent="0.2">
      <c r="C63" s="39"/>
      <c r="D63" s="18"/>
      <c r="E63" s="18"/>
      <c r="F63" s="18"/>
      <c r="G63" s="18"/>
      <c r="H63" s="18"/>
      <c r="I63" s="18"/>
      <c r="J63" s="18"/>
      <c r="K63" s="18"/>
      <c r="L63" s="18"/>
      <c r="M63" s="18"/>
    </row>
    <row r="64" spans="1:22" x14ac:dyDescent="0.2">
      <c r="C64" s="39"/>
      <c r="D64" s="18"/>
      <c r="E64" s="18"/>
      <c r="F64" s="18"/>
      <c r="G64" s="18"/>
      <c r="H64" s="18"/>
      <c r="I64" s="18"/>
      <c r="J64" s="18"/>
      <c r="K64" s="18"/>
      <c r="L64" s="18"/>
      <c r="M64" s="18"/>
    </row>
    <row r="65" spans="1:23" x14ac:dyDescent="0.2">
      <c r="C65" s="39"/>
      <c r="D65" s="18"/>
      <c r="E65" s="18"/>
      <c r="F65" s="18"/>
      <c r="G65" s="18"/>
      <c r="H65" s="18"/>
      <c r="I65" s="18"/>
      <c r="J65" s="18"/>
      <c r="K65" s="18"/>
      <c r="L65" s="18"/>
      <c r="M65" s="18"/>
    </row>
    <row r="66" spans="1:23" x14ac:dyDescent="0.2">
      <c r="C66" s="39"/>
      <c r="D66" s="18"/>
      <c r="E66" s="18"/>
      <c r="F66" s="18"/>
      <c r="G66" s="18"/>
      <c r="H66" s="18"/>
      <c r="I66" s="18"/>
      <c r="J66" s="18"/>
      <c r="K66" s="18"/>
      <c r="L66" s="18"/>
      <c r="M66" s="18"/>
    </row>
    <row r="67" spans="1:23" x14ac:dyDescent="0.2">
      <c r="C67" s="39"/>
      <c r="D67" s="18"/>
      <c r="E67" s="18"/>
      <c r="F67" s="18"/>
      <c r="G67" s="18"/>
      <c r="H67" s="18"/>
      <c r="I67" s="18"/>
      <c r="J67" s="18"/>
      <c r="K67" s="18"/>
      <c r="L67" s="18"/>
      <c r="M67" s="18"/>
    </row>
    <row r="68" spans="1:23" x14ac:dyDescent="0.2">
      <c r="A68" s="357"/>
      <c r="B68" s="22"/>
      <c r="C68" s="137"/>
      <c r="D68" s="127"/>
      <c r="E68" s="127"/>
      <c r="F68" s="127"/>
      <c r="G68" s="127"/>
      <c r="H68" s="127"/>
      <c r="I68" s="127"/>
      <c r="J68" s="127"/>
      <c r="K68" s="127"/>
      <c r="L68" s="127"/>
      <c r="M68" s="127"/>
      <c r="N68" s="421"/>
    </row>
    <row r="69" spans="1:23" x14ac:dyDescent="0.2">
      <c r="A69" s="357"/>
      <c r="B69" s="22"/>
      <c r="C69" s="137"/>
      <c r="D69" s="127"/>
      <c r="E69" s="127"/>
      <c r="F69" s="127"/>
      <c r="G69" s="127"/>
      <c r="H69" s="127"/>
      <c r="I69" s="127"/>
      <c r="J69" s="127"/>
      <c r="K69" s="127"/>
      <c r="L69" s="127"/>
      <c r="M69" s="127"/>
      <c r="N69" s="421"/>
    </row>
    <row r="70" spans="1:23" ht="18.75" x14ac:dyDescent="0.2">
      <c r="A70" s="552" t="s">
        <v>406</v>
      </c>
      <c r="B70" s="538"/>
      <c r="C70" s="538"/>
      <c r="D70" s="538"/>
      <c r="E70" s="510"/>
      <c r="F70" s="510"/>
      <c r="G70" s="510"/>
      <c r="H70" s="510"/>
      <c r="I70" s="510"/>
      <c r="J70" s="510"/>
      <c r="K70" s="510"/>
      <c r="L70" s="510"/>
      <c r="M70" s="510"/>
    </row>
    <row r="71" spans="1:23" ht="15" x14ac:dyDescent="0.2">
      <c r="A71" s="542" t="s">
        <v>535</v>
      </c>
      <c r="B71" s="539"/>
      <c r="C71" s="539"/>
      <c r="D71" s="539"/>
      <c r="E71" s="511"/>
      <c r="F71" s="511"/>
      <c r="G71" s="511"/>
      <c r="H71" s="511"/>
      <c r="I71" s="511"/>
      <c r="J71" s="511"/>
      <c r="K71" s="511"/>
      <c r="L71" s="511"/>
      <c r="M71" s="511"/>
      <c r="O71" s="422">
        <f>D8+D77</f>
        <v>2150795.42</v>
      </c>
    </row>
    <row r="72" spans="1:23" x14ac:dyDescent="0.2">
      <c r="A72" s="333">
        <v>2</v>
      </c>
      <c r="B72" s="354" t="s">
        <v>97</v>
      </c>
      <c r="C72" s="334"/>
      <c r="D72" s="334"/>
      <c r="E72" s="334"/>
      <c r="F72" s="334"/>
      <c r="G72" s="334"/>
      <c r="H72" s="334"/>
      <c r="I72" s="334"/>
      <c r="J72" s="334"/>
      <c r="K72" s="334"/>
      <c r="L72" s="334"/>
      <c r="M72" s="334"/>
    </row>
    <row r="73" spans="1:23" x14ac:dyDescent="0.2">
      <c r="A73" s="336">
        <v>2.2000000000000002</v>
      </c>
      <c r="B73" s="337" t="s">
        <v>419</v>
      </c>
      <c r="C73" s="334"/>
      <c r="D73" s="334"/>
      <c r="E73" s="334"/>
      <c r="F73" s="334"/>
      <c r="G73" s="334"/>
      <c r="H73" s="334"/>
      <c r="I73" s="334"/>
      <c r="J73" s="334"/>
      <c r="K73" s="334"/>
      <c r="L73" s="334"/>
      <c r="M73" s="334"/>
    </row>
    <row r="74" spans="1:23" x14ac:dyDescent="0.2">
      <c r="A74" s="336" t="s">
        <v>879</v>
      </c>
      <c r="B74" s="337" t="s">
        <v>419</v>
      </c>
      <c r="C74" s="356"/>
      <c r="D74" s="340"/>
      <c r="E74" s="340"/>
      <c r="F74" s="340"/>
      <c r="G74" s="340"/>
      <c r="H74" s="340"/>
      <c r="I74" s="340"/>
      <c r="J74" s="340"/>
      <c r="K74" s="340"/>
      <c r="L74" s="340"/>
      <c r="M74" s="340"/>
    </row>
    <row r="75" spans="1:23" s="25" customFormat="1" ht="22.5" x14ac:dyDescent="0.2">
      <c r="A75" s="451" t="s">
        <v>5</v>
      </c>
      <c r="B75" s="16" t="s">
        <v>6</v>
      </c>
      <c r="C75" s="452" t="s">
        <v>400</v>
      </c>
      <c r="D75" s="453" t="s">
        <v>7</v>
      </c>
      <c r="E75" s="453"/>
      <c r="F75" s="453"/>
      <c r="G75" s="453"/>
      <c r="H75" s="453"/>
      <c r="I75" s="453"/>
      <c r="J75" s="453"/>
      <c r="K75" s="453"/>
      <c r="L75" s="453"/>
      <c r="M75" s="453"/>
      <c r="N75" s="454" t="s">
        <v>920</v>
      </c>
      <c r="O75" s="455" t="s">
        <v>921</v>
      </c>
      <c r="P75" s="456" t="s">
        <v>934</v>
      </c>
      <c r="Q75" s="457" t="s">
        <v>922</v>
      </c>
      <c r="R75" s="458" t="s">
        <v>923</v>
      </c>
      <c r="S75" s="459" t="s">
        <v>924</v>
      </c>
      <c r="T75" s="460" t="s">
        <v>925</v>
      </c>
      <c r="U75" s="461" t="s">
        <v>926</v>
      </c>
      <c r="V75" s="465" t="s">
        <v>927</v>
      </c>
      <c r="W75" s="84" t="s">
        <v>928</v>
      </c>
    </row>
    <row r="76" spans="1:23" x14ac:dyDescent="0.2">
      <c r="A76" s="30"/>
      <c r="B76" s="15"/>
      <c r="C76" s="32"/>
      <c r="D76" s="33"/>
      <c r="E76" s="520"/>
      <c r="F76" s="520"/>
      <c r="G76" s="520"/>
      <c r="H76" s="520"/>
      <c r="I76" s="520"/>
      <c r="J76" s="520"/>
      <c r="K76" s="520"/>
      <c r="L76" s="520"/>
      <c r="M76" s="520"/>
      <c r="N76" s="443"/>
      <c r="O76" s="444"/>
      <c r="P76" s="445"/>
      <c r="Q76" s="446"/>
      <c r="R76" s="447"/>
      <c r="S76" s="448"/>
      <c r="T76" s="449"/>
      <c r="U76" s="450"/>
      <c r="V76" s="466"/>
      <c r="W76" s="5"/>
    </row>
    <row r="77" spans="1:23" x14ac:dyDescent="0.2">
      <c r="A77" s="54"/>
      <c r="B77" s="56" t="s">
        <v>7</v>
      </c>
      <c r="C77" s="40">
        <f>SUM(C78:C176)</f>
        <v>1363494.27</v>
      </c>
      <c r="D77" s="40">
        <f>+D78+D88+D171</f>
        <v>1363494.27</v>
      </c>
      <c r="E77" s="124"/>
      <c r="F77" s="124"/>
      <c r="G77" s="124"/>
      <c r="H77" s="124"/>
      <c r="I77" s="124"/>
      <c r="J77" s="124"/>
      <c r="K77" s="124"/>
      <c r="L77" s="124"/>
      <c r="M77" s="124"/>
      <c r="N77" s="534">
        <f>D77-C77</f>
        <v>0</v>
      </c>
      <c r="O77" s="534"/>
      <c r="P77" s="534"/>
      <c r="Q77" s="534"/>
      <c r="R77" s="534"/>
      <c r="S77" s="534"/>
      <c r="T77" s="534"/>
      <c r="U77" s="5"/>
      <c r="V77" s="5"/>
      <c r="W77" s="5"/>
    </row>
    <row r="78" spans="1:23" x14ac:dyDescent="0.2">
      <c r="A78" s="54">
        <v>6</v>
      </c>
      <c r="B78" s="56" t="s">
        <v>657</v>
      </c>
      <c r="C78" s="40"/>
      <c r="D78" s="40">
        <f>+D79</f>
        <v>50600</v>
      </c>
      <c r="E78" s="124"/>
      <c r="F78" s="124"/>
      <c r="G78" s="124"/>
      <c r="H78" s="124"/>
      <c r="I78" s="124"/>
      <c r="J78" s="124"/>
      <c r="K78" s="124"/>
      <c r="L78" s="124"/>
      <c r="M78" s="124"/>
      <c r="N78" s="443"/>
      <c r="O78" s="444"/>
      <c r="P78" s="445"/>
      <c r="Q78" s="446"/>
      <c r="R78" s="447"/>
      <c r="S78" s="448"/>
      <c r="T78" s="449"/>
      <c r="U78" s="450"/>
      <c r="V78" s="466"/>
      <c r="W78" s="5"/>
    </row>
    <row r="79" spans="1:23" x14ac:dyDescent="0.2">
      <c r="A79" s="54">
        <v>6.3</v>
      </c>
      <c r="B79" s="56" t="s">
        <v>658</v>
      </c>
      <c r="C79" s="40"/>
      <c r="D79" s="40">
        <f>+D80+D82+D84</f>
        <v>50600</v>
      </c>
      <c r="E79" s="124"/>
      <c r="F79" s="124"/>
      <c r="G79" s="124"/>
      <c r="H79" s="124"/>
      <c r="I79" s="124"/>
      <c r="J79" s="124"/>
      <c r="K79" s="124"/>
      <c r="L79" s="124"/>
      <c r="M79" s="124"/>
      <c r="N79" s="443"/>
      <c r="O79" s="444"/>
      <c r="P79" s="445"/>
      <c r="Q79" s="446"/>
      <c r="R79" s="447"/>
      <c r="S79" s="448"/>
      <c r="T79" s="449"/>
      <c r="U79" s="450"/>
      <c r="V79" s="466"/>
      <c r="W79" s="5"/>
    </row>
    <row r="80" spans="1:23" x14ac:dyDescent="0.2">
      <c r="A80" s="54" t="s">
        <v>663</v>
      </c>
      <c r="B80" s="56" t="s">
        <v>664</v>
      </c>
      <c r="C80" s="40"/>
      <c r="D80" s="40">
        <f>SUM(C81)</f>
        <v>33500</v>
      </c>
      <c r="E80" s="124"/>
      <c r="F80" s="124"/>
      <c r="G80" s="124"/>
      <c r="H80" s="124"/>
      <c r="I80" s="124"/>
      <c r="J80" s="124"/>
      <c r="K80" s="124"/>
      <c r="L80" s="124"/>
      <c r="M80" s="124"/>
      <c r="N80" s="443"/>
      <c r="O80" s="444"/>
      <c r="P80" s="445"/>
      <c r="Q80" s="446"/>
      <c r="R80" s="447"/>
      <c r="S80" s="448"/>
      <c r="T80" s="449"/>
      <c r="U80" s="450"/>
      <c r="V80" s="466"/>
      <c r="W80" s="5"/>
    </row>
    <row r="81" spans="1:23" x14ac:dyDescent="0.2">
      <c r="A81" s="57" t="s">
        <v>665</v>
      </c>
      <c r="B81" s="58" t="s">
        <v>666</v>
      </c>
      <c r="C81" s="41">
        <f>10000+14500+9000</f>
        <v>33500</v>
      </c>
      <c r="D81" s="40"/>
      <c r="E81" s="124"/>
      <c r="F81" s="124"/>
      <c r="G81" s="124"/>
      <c r="H81" s="124"/>
      <c r="I81" s="124"/>
      <c r="J81" s="124"/>
      <c r="K81" s="124"/>
      <c r="L81" s="124"/>
      <c r="M81" s="124"/>
      <c r="N81" s="443"/>
      <c r="O81" s="444"/>
      <c r="P81" s="445"/>
      <c r="Q81" s="446">
        <v>10000</v>
      </c>
      <c r="R81" s="447">
        <v>14500</v>
      </c>
      <c r="S81" s="448">
        <v>9000</v>
      </c>
      <c r="T81" s="449"/>
      <c r="U81" s="450"/>
      <c r="V81" s="466"/>
      <c r="W81" s="5"/>
    </row>
    <row r="82" spans="1:23" x14ac:dyDescent="0.2">
      <c r="A82" s="54" t="s">
        <v>659</v>
      </c>
      <c r="B82" s="56" t="s">
        <v>660</v>
      </c>
      <c r="C82" s="40"/>
      <c r="D82" s="40">
        <f>SUM(C83)</f>
        <v>4500</v>
      </c>
      <c r="E82" s="124"/>
      <c r="F82" s="124"/>
      <c r="G82" s="124"/>
      <c r="H82" s="124"/>
      <c r="I82" s="124"/>
      <c r="J82" s="124"/>
      <c r="K82" s="124"/>
      <c r="L82" s="124"/>
      <c r="M82" s="124"/>
      <c r="N82" s="443"/>
      <c r="O82" s="444"/>
      <c r="P82" s="445"/>
      <c r="Q82" s="446"/>
      <c r="R82" s="447"/>
      <c r="S82" s="448"/>
      <c r="T82" s="449"/>
      <c r="U82" s="450"/>
      <c r="V82" s="466"/>
      <c r="W82" s="5"/>
    </row>
    <row r="83" spans="1:23" x14ac:dyDescent="0.2">
      <c r="A83" s="57" t="s">
        <v>661</v>
      </c>
      <c r="B83" s="58" t="s">
        <v>662</v>
      </c>
      <c r="C83" s="41">
        <v>4500</v>
      </c>
      <c r="D83" s="40"/>
      <c r="E83" s="124"/>
      <c r="F83" s="124"/>
      <c r="G83" s="124"/>
      <c r="H83" s="124"/>
      <c r="I83" s="124"/>
      <c r="J83" s="124"/>
      <c r="K83" s="124"/>
      <c r="L83" s="124"/>
      <c r="M83" s="124"/>
      <c r="N83" s="443"/>
      <c r="O83" s="444"/>
      <c r="P83" s="445"/>
      <c r="Q83" s="446"/>
      <c r="R83" s="447"/>
      <c r="S83" s="448"/>
      <c r="T83" s="449"/>
      <c r="U83" s="450"/>
      <c r="V83" s="466"/>
      <c r="W83" s="5"/>
    </row>
    <row r="84" spans="1:23" x14ac:dyDescent="0.2">
      <c r="A84" s="54" t="s">
        <v>667</v>
      </c>
      <c r="B84" s="56" t="s">
        <v>668</v>
      </c>
      <c r="C84" s="40"/>
      <c r="D84" s="40">
        <f>SUM(C85:C86)</f>
        <v>12600</v>
      </c>
      <c r="E84" s="124"/>
      <c r="F84" s="124"/>
      <c r="G84" s="124"/>
      <c r="H84" s="124"/>
      <c r="I84" s="124"/>
      <c r="J84" s="124"/>
      <c r="K84" s="124"/>
      <c r="L84" s="124"/>
      <c r="M84" s="124"/>
      <c r="N84" s="443"/>
      <c r="O84" s="444"/>
      <c r="P84" s="445"/>
      <c r="Q84" s="446"/>
      <c r="R84" s="447"/>
      <c r="S84" s="448"/>
      <c r="T84" s="449"/>
      <c r="U84" s="450"/>
      <c r="V84" s="466"/>
      <c r="W84" s="5"/>
    </row>
    <row r="85" spans="1:23" x14ac:dyDescent="0.2">
      <c r="A85" s="57" t="s">
        <v>671</v>
      </c>
      <c r="B85" s="58" t="s">
        <v>674</v>
      </c>
      <c r="C85" s="41">
        <v>100</v>
      </c>
      <c r="D85" s="40"/>
      <c r="E85" s="124"/>
      <c r="F85" s="124"/>
      <c r="G85" s="124"/>
      <c r="H85" s="124"/>
      <c r="I85" s="124"/>
      <c r="J85" s="124"/>
      <c r="K85" s="124"/>
      <c r="L85" s="124"/>
      <c r="M85" s="124"/>
      <c r="N85" s="443"/>
      <c r="O85" s="444"/>
      <c r="P85" s="445"/>
      <c r="Q85" s="446"/>
      <c r="R85" s="447"/>
      <c r="S85" s="448"/>
      <c r="T85" s="449"/>
      <c r="U85" s="450"/>
      <c r="V85" s="466"/>
      <c r="W85" s="5"/>
    </row>
    <row r="86" spans="1:23" x14ac:dyDescent="0.2">
      <c r="A86" s="57" t="s">
        <v>669</v>
      </c>
      <c r="B86" s="58" t="s">
        <v>670</v>
      </c>
      <c r="C86" s="41">
        <f>2350+2150+5000+3000</f>
        <v>12500</v>
      </c>
      <c r="D86" s="40"/>
      <c r="E86" s="124"/>
      <c r="F86" s="124"/>
      <c r="G86" s="124"/>
      <c r="H86" s="124"/>
      <c r="I86" s="124"/>
      <c r="J86" s="124"/>
      <c r="K86" s="124"/>
      <c r="L86" s="124"/>
      <c r="M86" s="124"/>
      <c r="N86" s="443"/>
      <c r="O86" s="444"/>
      <c r="P86" s="445"/>
      <c r="Q86" s="446">
        <f>2350+2150</f>
        <v>4500</v>
      </c>
      <c r="R86" s="447">
        <v>5000</v>
      </c>
      <c r="S86" s="448">
        <v>3000</v>
      </c>
      <c r="T86" s="449"/>
      <c r="U86" s="450"/>
      <c r="V86" s="466"/>
      <c r="W86" s="5"/>
    </row>
    <row r="87" spans="1:23" x14ac:dyDescent="0.2">
      <c r="A87" s="57" t="s">
        <v>672</v>
      </c>
      <c r="B87" s="58" t="s">
        <v>673</v>
      </c>
      <c r="C87" s="40"/>
      <c r="D87" s="40"/>
      <c r="E87" s="124"/>
      <c r="F87" s="124"/>
      <c r="G87" s="124"/>
      <c r="H87" s="124"/>
      <c r="I87" s="124"/>
      <c r="J87" s="124"/>
      <c r="K87" s="124"/>
      <c r="L87" s="124"/>
      <c r="M87" s="124"/>
      <c r="N87" s="443"/>
      <c r="O87" s="444"/>
      <c r="P87" s="445"/>
      <c r="Q87" s="446"/>
      <c r="R87" s="447"/>
      <c r="S87" s="448"/>
      <c r="T87" s="449"/>
      <c r="U87" s="450"/>
      <c r="V87" s="466"/>
      <c r="W87" s="5"/>
    </row>
    <row r="88" spans="1:23" x14ac:dyDescent="0.2">
      <c r="A88" s="54">
        <v>7</v>
      </c>
      <c r="B88" s="56" t="s">
        <v>86</v>
      </c>
      <c r="C88" s="40"/>
      <c r="D88" s="40">
        <f>+D89+D113+D169</f>
        <v>1288714.27</v>
      </c>
      <c r="E88" s="124"/>
      <c r="F88" s="124"/>
      <c r="G88" s="124"/>
      <c r="H88" s="124"/>
      <c r="I88" s="124"/>
      <c r="J88" s="124"/>
      <c r="K88" s="124"/>
      <c r="L88" s="124"/>
      <c r="M88" s="124"/>
      <c r="N88" s="443"/>
      <c r="O88" s="444"/>
      <c r="P88" s="445"/>
      <c r="Q88" s="446"/>
      <c r="R88" s="447"/>
      <c r="S88" s="448"/>
      <c r="T88" s="449"/>
      <c r="U88" s="450"/>
      <c r="V88" s="466"/>
      <c r="W88" s="5"/>
    </row>
    <row r="89" spans="1:23" x14ac:dyDescent="0.2">
      <c r="A89" s="54">
        <v>7.1</v>
      </c>
      <c r="B89" s="56" t="s">
        <v>9</v>
      </c>
      <c r="C89" s="41"/>
      <c r="D89" s="40">
        <f>D90+D94+D97+D108+D105+D111</f>
        <v>0</v>
      </c>
      <c r="E89" s="124"/>
      <c r="F89" s="124"/>
      <c r="G89" s="124"/>
      <c r="H89" s="124"/>
      <c r="I89" s="124"/>
      <c r="J89" s="124"/>
      <c r="K89" s="124"/>
      <c r="L89" s="124"/>
      <c r="M89" s="124"/>
      <c r="N89" s="443"/>
      <c r="O89" s="444"/>
      <c r="P89" s="445"/>
      <c r="Q89" s="446"/>
      <c r="R89" s="447"/>
      <c r="S89" s="448"/>
      <c r="T89" s="449"/>
      <c r="U89" s="450"/>
      <c r="V89" s="466"/>
      <c r="W89" s="5"/>
    </row>
    <row r="90" spans="1:23" x14ac:dyDescent="0.2">
      <c r="A90" s="42" t="s">
        <v>151</v>
      </c>
      <c r="B90" s="43" t="s">
        <v>11</v>
      </c>
      <c r="C90" s="40"/>
      <c r="D90" s="40">
        <f>+C91+C92</f>
        <v>0</v>
      </c>
      <c r="E90" s="124"/>
      <c r="F90" s="124"/>
      <c r="G90" s="124"/>
      <c r="H90" s="124"/>
      <c r="I90" s="124"/>
      <c r="J90" s="124"/>
      <c r="K90" s="124"/>
      <c r="L90" s="124"/>
      <c r="M90" s="124"/>
      <c r="N90" s="443"/>
      <c r="O90" s="444"/>
      <c r="P90" s="445"/>
      <c r="Q90" s="446"/>
      <c r="R90" s="447"/>
      <c r="S90" s="448"/>
      <c r="T90" s="449"/>
      <c r="U90" s="450"/>
      <c r="V90" s="466"/>
      <c r="W90" s="5"/>
    </row>
    <row r="91" spans="1:23" x14ac:dyDescent="0.2">
      <c r="A91" s="45" t="s">
        <v>262</v>
      </c>
      <c r="B91" s="46" t="s">
        <v>762</v>
      </c>
      <c r="C91" s="41"/>
      <c r="D91" s="41"/>
      <c r="E91" s="13"/>
      <c r="F91" s="13"/>
      <c r="G91" s="13"/>
      <c r="H91" s="13"/>
      <c r="I91" s="13"/>
      <c r="J91" s="13"/>
      <c r="K91" s="13"/>
      <c r="L91" s="13"/>
      <c r="M91" s="13"/>
      <c r="N91" s="443"/>
      <c r="O91" s="444"/>
      <c r="P91" s="445"/>
      <c r="Q91" s="446"/>
      <c r="R91" s="447"/>
      <c r="S91" s="448"/>
      <c r="T91" s="449"/>
      <c r="U91" s="450"/>
      <c r="V91" s="466"/>
      <c r="W91" s="5"/>
    </row>
    <row r="92" spans="1:23" x14ac:dyDescent="0.2">
      <c r="A92" s="45" t="s">
        <v>271</v>
      </c>
      <c r="B92" s="46" t="s">
        <v>763</v>
      </c>
      <c r="C92" s="41"/>
      <c r="D92" s="41"/>
      <c r="E92" s="13"/>
      <c r="F92" s="13"/>
      <c r="G92" s="13"/>
      <c r="H92" s="13"/>
      <c r="I92" s="13"/>
      <c r="J92" s="13"/>
      <c r="K92" s="13"/>
      <c r="L92" s="13"/>
      <c r="M92" s="13"/>
      <c r="N92" s="443"/>
      <c r="O92" s="444"/>
      <c r="P92" s="445"/>
      <c r="Q92" s="446"/>
      <c r="R92" s="447"/>
      <c r="S92" s="448"/>
      <c r="T92" s="449"/>
      <c r="U92" s="450"/>
      <c r="V92" s="466"/>
      <c r="W92" s="5"/>
    </row>
    <row r="93" spans="1:23" x14ac:dyDescent="0.2">
      <c r="A93" s="45" t="s">
        <v>770</v>
      </c>
      <c r="B93" s="46" t="s">
        <v>764</v>
      </c>
      <c r="C93" s="47"/>
      <c r="D93" s="44"/>
      <c r="E93" s="125"/>
      <c r="F93" s="125"/>
      <c r="G93" s="125"/>
      <c r="H93" s="125"/>
      <c r="I93" s="125"/>
      <c r="J93" s="125"/>
      <c r="K93" s="125"/>
      <c r="L93" s="125"/>
      <c r="M93" s="125"/>
      <c r="N93" s="443"/>
      <c r="O93" s="444"/>
      <c r="P93" s="445"/>
      <c r="Q93" s="446"/>
      <c r="R93" s="447"/>
      <c r="S93" s="448"/>
      <c r="T93" s="449"/>
      <c r="U93" s="450"/>
      <c r="V93" s="466"/>
      <c r="W93" s="5"/>
    </row>
    <row r="94" spans="1:23" x14ac:dyDescent="0.2">
      <c r="A94" s="42" t="s">
        <v>265</v>
      </c>
      <c r="B94" s="43" t="s">
        <v>253</v>
      </c>
      <c r="C94" s="47"/>
      <c r="D94" s="44">
        <f>SUM(C95:C96)</f>
        <v>0</v>
      </c>
      <c r="E94" s="125"/>
      <c r="F94" s="125"/>
      <c r="G94" s="125"/>
      <c r="H94" s="125"/>
      <c r="I94" s="125"/>
      <c r="J94" s="125"/>
      <c r="K94" s="125"/>
      <c r="L94" s="125"/>
      <c r="M94" s="125"/>
      <c r="N94" s="443"/>
      <c r="O94" s="444"/>
      <c r="P94" s="445"/>
      <c r="Q94" s="446"/>
      <c r="R94" s="447"/>
      <c r="S94" s="448"/>
      <c r="T94" s="449"/>
      <c r="U94" s="450"/>
      <c r="V94" s="466"/>
      <c r="W94" s="5"/>
    </row>
    <row r="95" spans="1:23" x14ac:dyDescent="0.2">
      <c r="A95" s="45" t="s">
        <v>263</v>
      </c>
      <c r="B95" s="46" t="s">
        <v>255</v>
      </c>
      <c r="C95" s="47"/>
      <c r="D95" s="47"/>
      <c r="E95" s="205"/>
      <c r="F95" s="205"/>
      <c r="G95" s="205"/>
      <c r="H95" s="205"/>
      <c r="I95" s="205"/>
      <c r="J95" s="205"/>
      <c r="K95" s="205"/>
      <c r="L95" s="205"/>
      <c r="M95" s="205"/>
      <c r="N95" s="443"/>
      <c r="O95" s="444"/>
      <c r="P95" s="445"/>
      <c r="Q95" s="446"/>
      <c r="R95" s="447"/>
      <c r="S95" s="448"/>
      <c r="T95" s="449"/>
      <c r="U95" s="450"/>
      <c r="V95" s="466"/>
      <c r="W95" s="5"/>
    </row>
    <row r="96" spans="1:23" x14ac:dyDescent="0.2">
      <c r="A96" s="45" t="s">
        <v>264</v>
      </c>
      <c r="B96" s="46" t="s">
        <v>257</v>
      </c>
      <c r="C96" s="47"/>
      <c r="D96" s="47"/>
      <c r="E96" s="205"/>
      <c r="F96" s="205"/>
      <c r="G96" s="205"/>
      <c r="H96" s="205"/>
      <c r="I96" s="205"/>
      <c r="J96" s="205"/>
      <c r="K96" s="205"/>
      <c r="L96" s="205"/>
      <c r="M96" s="205"/>
      <c r="N96" s="443"/>
      <c r="O96" s="444"/>
      <c r="P96" s="445"/>
      <c r="Q96" s="446"/>
      <c r="R96" s="447"/>
      <c r="S96" s="448"/>
      <c r="T96" s="449"/>
      <c r="U96" s="450"/>
      <c r="V96" s="466"/>
      <c r="W96" s="5"/>
    </row>
    <row r="97" spans="1:23" x14ac:dyDescent="0.2">
      <c r="A97" s="54" t="s">
        <v>464</v>
      </c>
      <c r="B97" s="56" t="s">
        <v>350</v>
      </c>
      <c r="C97" s="47"/>
      <c r="D97" s="44">
        <f>SUM(C98)</f>
        <v>0</v>
      </c>
      <c r="E97" s="125"/>
      <c r="F97" s="125"/>
      <c r="G97" s="125"/>
      <c r="H97" s="125"/>
      <c r="I97" s="125"/>
      <c r="J97" s="125"/>
      <c r="K97" s="125"/>
      <c r="L97" s="125"/>
      <c r="M97" s="125"/>
      <c r="N97" s="443"/>
      <c r="O97" s="444"/>
      <c r="P97" s="445"/>
      <c r="Q97" s="446"/>
      <c r="R97" s="447"/>
      <c r="S97" s="448"/>
      <c r="T97" s="449"/>
      <c r="U97" s="450"/>
      <c r="V97" s="466"/>
      <c r="W97" s="5"/>
    </row>
    <row r="98" spans="1:23" x14ac:dyDescent="0.2">
      <c r="A98" s="57" t="s">
        <v>771</v>
      </c>
      <c r="B98" s="58" t="s">
        <v>509</v>
      </c>
      <c r="C98" s="47"/>
      <c r="D98" s="47"/>
      <c r="E98" s="205"/>
      <c r="F98" s="205"/>
      <c r="G98" s="205"/>
      <c r="H98" s="205"/>
      <c r="I98" s="205"/>
      <c r="J98" s="205"/>
      <c r="K98" s="205"/>
      <c r="L98" s="205"/>
      <c r="M98" s="205"/>
      <c r="N98" s="443"/>
      <c r="O98" s="444"/>
      <c r="P98" s="445"/>
      <c r="Q98" s="446"/>
      <c r="R98" s="447"/>
      <c r="S98" s="448"/>
      <c r="T98" s="449"/>
      <c r="U98" s="450"/>
      <c r="V98" s="466"/>
      <c r="W98" s="5"/>
    </row>
    <row r="99" spans="1:23" x14ac:dyDescent="0.2">
      <c r="A99" s="57" t="s">
        <v>465</v>
      </c>
      <c r="B99" s="58" t="s">
        <v>765</v>
      </c>
      <c r="C99" s="47"/>
      <c r="D99" s="44">
        <f>+C100+C101</f>
        <v>0</v>
      </c>
      <c r="E99" s="125"/>
      <c r="F99" s="125"/>
      <c r="G99" s="125"/>
      <c r="H99" s="125"/>
      <c r="I99" s="125"/>
      <c r="J99" s="125"/>
      <c r="K99" s="125"/>
      <c r="L99" s="125"/>
      <c r="M99" s="125"/>
      <c r="N99" s="443"/>
      <c r="O99" s="444"/>
      <c r="P99" s="445"/>
      <c r="Q99" s="446"/>
      <c r="R99" s="447"/>
      <c r="S99" s="448"/>
      <c r="T99" s="449"/>
      <c r="U99" s="450"/>
      <c r="V99" s="466"/>
      <c r="W99" s="5"/>
    </row>
    <row r="100" spans="1:23" x14ac:dyDescent="0.2">
      <c r="A100" s="42" t="s">
        <v>188</v>
      </c>
      <c r="B100" s="59" t="s">
        <v>185</v>
      </c>
      <c r="C100" s="48"/>
      <c r="D100" s="49"/>
      <c r="E100" s="521"/>
      <c r="F100" s="521"/>
      <c r="G100" s="521"/>
      <c r="H100" s="521"/>
      <c r="I100" s="521"/>
      <c r="J100" s="521"/>
      <c r="K100" s="521"/>
      <c r="L100" s="521"/>
      <c r="M100" s="521"/>
      <c r="N100" s="443"/>
      <c r="O100" s="444"/>
      <c r="P100" s="445"/>
      <c r="Q100" s="446"/>
      <c r="R100" s="447"/>
      <c r="S100" s="448"/>
      <c r="T100" s="449"/>
      <c r="U100" s="450"/>
      <c r="V100" s="466"/>
      <c r="W100" s="5"/>
    </row>
    <row r="101" spans="1:23" x14ac:dyDescent="0.2">
      <c r="A101" s="45" t="s">
        <v>278</v>
      </c>
      <c r="B101" s="60" t="s">
        <v>719</v>
      </c>
      <c r="C101" s="48"/>
      <c r="D101" s="49"/>
      <c r="E101" s="521"/>
      <c r="F101" s="521"/>
      <c r="G101" s="521"/>
      <c r="H101" s="521"/>
      <c r="I101" s="521"/>
      <c r="J101" s="521"/>
      <c r="K101" s="521"/>
      <c r="L101" s="521"/>
      <c r="M101" s="521"/>
      <c r="N101" s="443"/>
      <c r="O101" s="444"/>
      <c r="P101" s="445"/>
      <c r="Q101" s="446"/>
      <c r="R101" s="447"/>
      <c r="S101" s="448"/>
      <c r="T101" s="449"/>
      <c r="U101" s="450"/>
      <c r="V101" s="466"/>
      <c r="W101" s="5"/>
    </row>
    <row r="102" spans="1:23" x14ac:dyDescent="0.2">
      <c r="A102" s="45" t="s">
        <v>481</v>
      </c>
      <c r="B102" s="46" t="s">
        <v>480</v>
      </c>
      <c r="C102" s="48"/>
      <c r="D102" s="216">
        <f>SUM(C103)</f>
        <v>0</v>
      </c>
      <c r="E102" s="522"/>
      <c r="F102" s="522"/>
      <c r="G102" s="522"/>
      <c r="H102" s="522"/>
      <c r="I102" s="522"/>
      <c r="J102" s="522"/>
      <c r="K102" s="522"/>
      <c r="L102" s="522"/>
      <c r="M102" s="522"/>
      <c r="N102" s="443"/>
      <c r="O102" s="444"/>
      <c r="P102" s="445"/>
      <c r="Q102" s="446"/>
      <c r="R102" s="447"/>
      <c r="S102" s="448"/>
      <c r="T102" s="449"/>
      <c r="U102" s="450"/>
      <c r="V102" s="466"/>
      <c r="W102" s="5"/>
    </row>
    <row r="103" spans="1:23" ht="12.75" customHeight="1" x14ac:dyDescent="0.2">
      <c r="A103" s="42" t="s">
        <v>268</v>
      </c>
      <c r="B103" s="43" t="s">
        <v>186</v>
      </c>
      <c r="C103" s="48"/>
      <c r="D103" s="49"/>
      <c r="E103" s="521"/>
      <c r="F103" s="521"/>
      <c r="G103" s="521"/>
      <c r="H103" s="521"/>
      <c r="I103" s="521"/>
      <c r="J103" s="521"/>
      <c r="K103" s="521"/>
      <c r="L103" s="521"/>
      <c r="M103" s="521"/>
      <c r="N103" s="443"/>
      <c r="O103" s="444"/>
      <c r="P103" s="445"/>
      <c r="Q103" s="446"/>
      <c r="R103" s="447"/>
      <c r="S103" s="448"/>
      <c r="T103" s="449"/>
      <c r="U103" s="450"/>
      <c r="V103" s="466"/>
      <c r="W103" s="5"/>
    </row>
    <row r="104" spans="1:23" ht="12.75" customHeight="1" x14ac:dyDescent="0.2">
      <c r="A104" s="42" t="s">
        <v>772</v>
      </c>
      <c r="B104" s="43" t="s">
        <v>767</v>
      </c>
      <c r="C104" s="48"/>
      <c r="D104" s="49"/>
      <c r="E104" s="521"/>
      <c r="F104" s="521"/>
      <c r="G104" s="521"/>
      <c r="H104" s="521"/>
      <c r="I104" s="521"/>
      <c r="J104" s="521"/>
      <c r="K104" s="521"/>
      <c r="L104" s="521"/>
      <c r="M104" s="521"/>
      <c r="N104" s="443"/>
      <c r="O104" s="444"/>
      <c r="P104" s="445"/>
      <c r="Q104" s="446"/>
      <c r="R104" s="447"/>
      <c r="S104" s="448"/>
      <c r="T104" s="449"/>
      <c r="U104" s="450"/>
      <c r="V104" s="466"/>
      <c r="W104" s="5"/>
    </row>
    <row r="105" spans="1:23" ht="12.75" customHeight="1" x14ac:dyDescent="0.2">
      <c r="A105" s="45" t="s">
        <v>269</v>
      </c>
      <c r="B105" s="46" t="s">
        <v>259</v>
      </c>
      <c r="C105" s="48"/>
      <c r="D105" s="216">
        <f>SUM(C106)</f>
        <v>0</v>
      </c>
      <c r="E105" s="522"/>
      <c r="F105" s="522"/>
      <c r="G105" s="522"/>
      <c r="H105" s="522"/>
      <c r="I105" s="522"/>
      <c r="J105" s="522"/>
      <c r="K105" s="522"/>
      <c r="L105" s="522"/>
      <c r="M105" s="522"/>
      <c r="N105" s="443"/>
      <c r="O105" s="444"/>
      <c r="P105" s="445"/>
      <c r="Q105" s="446"/>
      <c r="R105" s="447"/>
      <c r="S105" s="448"/>
      <c r="T105" s="449"/>
      <c r="U105" s="450"/>
      <c r="V105" s="466"/>
      <c r="W105" s="5"/>
    </row>
    <row r="106" spans="1:23" ht="12.75" customHeight="1" x14ac:dyDescent="0.2">
      <c r="A106" s="45" t="s">
        <v>675</v>
      </c>
      <c r="B106" s="46" t="s">
        <v>676</v>
      </c>
      <c r="C106" s="48"/>
      <c r="D106" s="49"/>
      <c r="E106" s="521"/>
      <c r="F106" s="521"/>
      <c r="G106" s="521"/>
      <c r="H106" s="521"/>
      <c r="I106" s="521"/>
      <c r="J106" s="521"/>
      <c r="K106" s="521"/>
      <c r="L106" s="521"/>
      <c r="M106" s="521"/>
      <c r="N106" s="443"/>
      <c r="O106" s="444"/>
      <c r="P106" s="445"/>
      <c r="Q106" s="446"/>
      <c r="R106" s="447"/>
      <c r="S106" s="448"/>
      <c r="T106" s="449"/>
      <c r="U106" s="450"/>
      <c r="V106" s="466"/>
      <c r="W106" s="5"/>
    </row>
    <row r="107" spans="1:23" ht="12.75" customHeight="1" x14ac:dyDescent="0.2">
      <c r="A107" s="45" t="s">
        <v>707</v>
      </c>
      <c r="B107" s="46" t="s">
        <v>543</v>
      </c>
      <c r="C107" s="48"/>
      <c r="D107" s="49"/>
      <c r="E107" s="521"/>
      <c r="F107" s="521"/>
      <c r="G107" s="521"/>
      <c r="H107" s="521"/>
      <c r="I107" s="521"/>
      <c r="J107" s="521"/>
      <c r="K107" s="521"/>
      <c r="L107" s="521"/>
      <c r="M107" s="521"/>
      <c r="N107" s="443"/>
      <c r="O107" s="444"/>
      <c r="P107" s="445"/>
      <c r="Q107" s="446"/>
      <c r="R107" s="447"/>
      <c r="S107" s="448"/>
      <c r="T107" s="449"/>
      <c r="U107" s="450"/>
      <c r="V107" s="466"/>
      <c r="W107" s="5"/>
    </row>
    <row r="108" spans="1:23" ht="12.75" customHeight="1" x14ac:dyDescent="0.2">
      <c r="A108" s="42" t="s">
        <v>266</v>
      </c>
      <c r="B108" s="43" t="s">
        <v>13</v>
      </c>
      <c r="C108" s="48"/>
      <c r="D108" s="216">
        <f>SUM(C109:C110)</f>
        <v>0</v>
      </c>
      <c r="E108" s="522"/>
      <c r="F108" s="522"/>
      <c r="G108" s="522"/>
      <c r="H108" s="522"/>
      <c r="I108" s="522"/>
      <c r="J108" s="522"/>
      <c r="K108" s="522"/>
      <c r="L108" s="522"/>
      <c r="M108" s="522"/>
      <c r="N108" s="443"/>
      <c r="O108" s="444"/>
      <c r="P108" s="445"/>
      <c r="Q108" s="446"/>
      <c r="R108" s="447"/>
      <c r="S108" s="448"/>
      <c r="T108" s="449"/>
      <c r="U108" s="450"/>
      <c r="V108" s="466"/>
      <c r="W108" s="5"/>
    </row>
    <row r="109" spans="1:23" ht="12.75" customHeight="1" x14ac:dyDescent="0.2">
      <c r="A109" s="45" t="s">
        <v>267</v>
      </c>
      <c r="B109" s="46" t="s">
        <v>261</v>
      </c>
      <c r="C109" s="48"/>
      <c r="D109" s="49"/>
      <c r="E109" s="521"/>
      <c r="F109" s="521"/>
      <c r="G109" s="521"/>
      <c r="H109" s="521"/>
      <c r="I109" s="521"/>
      <c r="J109" s="521"/>
      <c r="K109" s="521"/>
      <c r="L109" s="521"/>
      <c r="M109" s="521"/>
      <c r="N109" s="443"/>
      <c r="O109" s="444"/>
      <c r="P109" s="445"/>
      <c r="Q109" s="446"/>
      <c r="R109" s="447"/>
      <c r="S109" s="448"/>
      <c r="T109" s="449"/>
      <c r="U109" s="450"/>
      <c r="V109" s="466"/>
      <c r="W109" s="5"/>
    </row>
    <row r="110" spans="1:23" ht="12.75" customHeight="1" x14ac:dyDescent="0.2">
      <c r="A110" s="45" t="s">
        <v>705</v>
      </c>
      <c r="B110" s="46" t="s">
        <v>700</v>
      </c>
      <c r="C110" s="48"/>
      <c r="D110" s="49"/>
      <c r="E110" s="521"/>
      <c r="F110" s="521"/>
      <c r="G110" s="521"/>
      <c r="H110" s="521"/>
      <c r="I110" s="521"/>
      <c r="J110" s="521"/>
      <c r="K110" s="521"/>
      <c r="L110" s="521"/>
      <c r="M110" s="521"/>
      <c r="N110" s="443"/>
      <c r="O110" s="444"/>
      <c r="P110" s="445"/>
      <c r="Q110" s="446"/>
      <c r="R110" s="447"/>
      <c r="S110" s="448"/>
      <c r="T110" s="449"/>
      <c r="U110" s="450"/>
      <c r="V110" s="466"/>
      <c r="W110" s="5"/>
    </row>
    <row r="111" spans="1:23" ht="12.75" customHeight="1" x14ac:dyDescent="0.2">
      <c r="A111" s="42" t="s">
        <v>619</v>
      </c>
      <c r="B111" s="43" t="s">
        <v>303</v>
      </c>
      <c r="C111" s="48"/>
      <c r="D111" s="216">
        <f>SUM(C112)</f>
        <v>0</v>
      </c>
      <c r="E111" s="522"/>
      <c r="F111" s="522"/>
      <c r="G111" s="522"/>
      <c r="H111" s="522"/>
      <c r="I111" s="522"/>
      <c r="J111" s="522"/>
      <c r="K111" s="522"/>
      <c r="L111" s="522"/>
      <c r="M111" s="522"/>
      <c r="N111" s="443"/>
      <c r="O111" s="444"/>
      <c r="P111" s="445"/>
      <c r="Q111" s="446"/>
      <c r="R111" s="447"/>
      <c r="S111" s="448"/>
      <c r="T111" s="449"/>
      <c r="U111" s="450"/>
      <c r="V111" s="466"/>
      <c r="W111" s="5"/>
    </row>
    <row r="112" spans="1:23" ht="12.75" customHeight="1" x14ac:dyDescent="0.2">
      <c r="A112" s="45" t="s">
        <v>620</v>
      </c>
      <c r="B112" s="46" t="s">
        <v>776</v>
      </c>
      <c r="C112" s="48"/>
      <c r="D112" s="49"/>
      <c r="E112" s="521"/>
      <c r="F112" s="521"/>
      <c r="G112" s="521"/>
      <c r="H112" s="521"/>
      <c r="I112" s="521"/>
      <c r="J112" s="521"/>
      <c r="K112" s="521"/>
      <c r="L112" s="521"/>
      <c r="M112" s="521"/>
      <c r="N112" s="443"/>
      <c r="O112" s="444"/>
      <c r="P112" s="445"/>
      <c r="Q112" s="446"/>
      <c r="R112" s="447"/>
      <c r="S112" s="448"/>
      <c r="T112" s="449"/>
      <c r="U112" s="450"/>
      <c r="V112" s="466"/>
      <c r="W112" s="5"/>
    </row>
    <row r="113" spans="1:23" x14ac:dyDescent="0.2">
      <c r="A113" s="54">
        <v>7.3</v>
      </c>
      <c r="B113" s="56" t="s">
        <v>14</v>
      </c>
      <c r="C113" s="41"/>
      <c r="D113" s="40">
        <f>+D114+D118+D134+D137+D142+D144+D147+D149+D164</f>
        <v>1287714.27</v>
      </c>
      <c r="E113" s="124"/>
      <c r="F113" s="124"/>
      <c r="G113" s="124"/>
      <c r="H113" s="124"/>
      <c r="I113" s="124"/>
      <c r="J113" s="124"/>
      <c r="K113" s="124"/>
      <c r="L113" s="124"/>
      <c r="M113" s="124"/>
      <c r="N113" s="443"/>
      <c r="O113" s="444"/>
      <c r="P113" s="445"/>
      <c r="Q113" s="446"/>
      <c r="R113" s="447"/>
      <c r="S113" s="448"/>
      <c r="T113" s="449"/>
      <c r="U113" s="450"/>
      <c r="V113" s="466"/>
      <c r="W113" s="5"/>
    </row>
    <row r="114" spans="1:23" x14ac:dyDescent="0.2">
      <c r="A114" s="54" t="s">
        <v>3</v>
      </c>
      <c r="B114" s="56" t="s">
        <v>16</v>
      </c>
      <c r="C114" s="40"/>
      <c r="D114" s="40">
        <f>SUM(C115:C117)</f>
        <v>6200</v>
      </c>
      <c r="E114" s="124"/>
      <c r="F114" s="124"/>
      <c r="G114" s="124"/>
      <c r="H114" s="124"/>
      <c r="I114" s="124"/>
      <c r="J114" s="124"/>
      <c r="K114" s="124"/>
      <c r="L114" s="124"/>
      <c r="M114" s="124"/>
      <c r="N114" s="443"/>
      <c r="O114" s="444"/>
      <c r="P114" s="445"/>
      <c r="Q114" s="446"/>
      <c r="R114" s="447"/>
      <c r="S114" s="448"/>
      <c r="T114" s="449"/>
      <c r="U114" s="450"/>
      <c r="V114" s="466"/>
      <c r="W114" s="5"/>
    </row>
    <row r="115" spans="1:23" x14ac:dyDescent="0.2">
      <c r="A115" s="57" t="s">
        <v>621</v>
      </c>
      <c r="B115" s="58" t="s">
        <v>622</v>
      </c>
      <c r="C115" s="41">
        <f>720+1000</f>
        <v>1720</v>
      </c>
      <c r="D115" s="40"/>
      <c r="E115" s="124"/>
      <c r="F115" s="124"/>
      <c r="G115" s="124"/>
      <c r="H115" s="124"/>
      <c r="I115" s="124"/>
      <c r="J115" s="124"/>
      <c r="K115" s="124"/>
      <c r="L115" s="124"/>
      <c r="M115" s="124"/>
      <c r="N115" s="443"/>
      <c r="O115" s="444"/>
      <c r="P115" s="445">
        <v>720</v>
      </c>
      <c r="Q115" s="446"/>
      <c r="R115" s="447"/>
      <c r="S115" s="448"/>
      <c r="T115" s="449"/>
      <c r="U115" s="450"/>
      <c r="V115" s="466"/>
      <c r="W115" s="5">
        <v>1000</v>
      </c>
    </row>
    <row r="116" spans="1:23" x14ac:dyDescent="0.2">
      <c r="A116" s="57" t="s">
        <v>522</v>
      </c>
      <c r="B116" s="58" t="s">
        <v>523</v>
      </c>
      <c r="C116" s="41">
        <f>480+2000</f>
        <v>2480</v>
      </c>
      <c r="D116" s="40"/>
      <c r="E116" s="124"/>
      <c r="F116" s="124"/>
      <c r="G116" s="124"/>
      <c r="H116" s="124"/>
      <c r="I116" s="124"/>
      <c r="J116" s="124"/>
      <c r="K116" s="124"/>
      <c r="L116" s="124"/>
      <c r="M116" s="124"/>
      <c r="N116" s="443"/>
      <c r="O116" s="444"/>
      <c r="P116" s="445">
        <v>480</v>
      </c>
      <c r="Q116" s="446"/>
      <c r="R116" s="447"/>
      <c r="S116" s="448"/>
      <c r="T116" s="449"/>
      <c r="U116" s="450"/>
      <c r="V116" s="466"/>
      <c r="W116" s="5">
        <v>2000</v>
      </c>
    </row>
    <row r="117" spans="1:23" x14ac:dyDescent="0.2">
      <c r="A117" s="57" t="s">
        <v>0</v>
      </c>
      <c r="B117" s="58" t="s">
        <v>20</v>
      </c>
      <c r="C117" s="41">
        <v>2000</v>
      </c>
      <c r="D117" s="40"/>
      <c r="E117" s="124"/>
      <c r="F117" s="124"/>
      <c r="G117" s="124"/>
      <c r="H117" s="124"/>
      <c r="I117" s="124"/>
      <c r="J117" s="124"/>
      <c r="K117" s="124"/>
      <c r="L117" s="124"/>
      <c r="M117" s="124"/>
      <c r="N117" s="443"/>
      <c r="O117" s="444"/>
      <c r="P117" s="445"/>
      <c r="Q117" s="446"/>
      <c r="R117" s="447"/>
      <c r="S117" s="448"/>
      <c r="T117" s="449"/>
      <c r="U117" s="450"/>
      <c r="V117" s="466"/>
      <c r="W117" s="5">
        <v>2000</v>
      </c>
    </row>
    <row r="118" spans="1:23" x14ac:dyDescent="0.2">
      <c r="A118" s="54" t="s">
        <v>152</v>
      </c>
      <c r="B118" s="56" t="s">
        <v>4</v>
      </c>
      <c r="C118" s="41"/>
      <c r="D118" s="40">
        <f>SUM(C119:C133)</f>
        <v>78020</v>
      </c>
      <c r="E118" s="124"/>
      <c r="F118" s="124"/>
      <c r="G118" s="124"/>
      <c r="H118" s="124"/>
      <c r="I118" s="124"/>
      <c r="J118" s="124"/>
      <c r="K118" s="124"/>
      <c r="L118" s="124"/>
      <c r="M118" s="124"/>
      <c r="N118" s="443"/>
      <c r="O118" s="444"/>
      <c r="P118" s="445"/>
      <c r="Q118" s="446"/>
      <c r="R118" s="447"/>
      <c r="S118" s="448"/>
      <c r="T118" s="449"/>
      <c r="U118" s="450"/>
      <c r="V118" s="466"/>
      <c r="W118" s="5"/>
    </row>
    <row r="119" spans="1:23" x14ac:dyDescent="0.2">
      <c r="A119" s="57" t="s">
        <v>327</v>
      </c>
      <c r="B119" s="58" t="s">
        <v>623</v>
      </c>
      <c r="C119" s="41">
        <f>100+150+1100</f>
        <v>1350</v>
      </c>
      <c r="D119" s="40"/>
      <c r="E119" s="124"/>
      <c r="F119" s="124"/>
      <c r="G119" s="124"/>
      <c r="H119" s="124"/>
      <c r="I119" s="124"/>
      <c r="J119" s="124"/>
      <c r="K119" s="124"/>
      <c r="L119" s="124"/>
      <c r="M119" s="124"/>
      <c r="N119" s="443"/>
      <c r="O119" s="444"/>
      <c r="P119" s="445"/>
      <c r="Q119" s="446">
        <v>100</v>
      </c>
      <c r="R119" s="447">
        <v>150</v>
      </c>
      <c r="S119" s="448"/>
      <c r="T119" s="449"/>
      <c r="U119" s="450"/>
      <c r="V119" s="466"/>
      <c r="W119" s="5">
        <v>1100</v>
      </c>
    </row>
    <row r="120" spans="1:23" x14ac:dyDescent="0.2">
      <c r="A120" s="54" t="s">
        <v>328</v>
      </c>
      <c r="B120" s="56" t="s">
        <v>545</v>
      </c>
      <c r="C120" s="41"/>
      <c r="D120" s="40"/>
      <c r="E120" s="124"/>
      <c r="F120" s="124"/>
      <c r="G120" s="124"/>
      <c r="H120" s="124"/>
      <c r="I120" s="124"/>
      <c r="J120" s="124"/>
      <c r="K120" s="124"/>
      <c r="L120" s="124"/>
      <c r="M120" s="124"/>
      <c r="N120" s="443"/>
      <c r="O120" s="444"/>
      <c r="P120" s="445"/>
      <c r="Q120" s="446"/>
      <c r="R120" s="447"/>
      <c r="S120" s="448"/>
      <c r="T120" s="449"/>
      <c r="U120" s="450"/>
      <c r="V120" s="466"/>
      <c r="W120" s="5"/>
    </row>
    <row r="121" spans="1:23" x14ac:dyDescent="0.2">
      <c r="A121" s="57" t="s">
        <v>908</v>
      </c>
      <c r="B121" s="58" t="s">
        <v>909</v>
      </c>
      <c r="C121" s="41">
        <v>5500</v>
      </c>
      <c r="D121" s="40"/>
      <c r="E121" s="124"/>
      <c r="F121" s="124"/>
      <c r="G121" s="124"/>
      <c r="H121" s="124"/>
      <c r="I121" s="124"/>
      <c r="J121" s="124"/>
      <c r="K121" s="124"/>
      <c r="L121" s="124"/>
      <c r="M121" s="124"/>
      <c r="N121" s="443">
        <v>5500</v>
      </c>
      <c r="O121" s="444"/>
      <c r="P121" s="445"/>
      <c r="Q121" s="446"/>
      <c r="R121" s="447"/>
      <c r="S121" s="448"/>
      <c r="T121" s="449"/>
      <c r="U121" s="450"/>
      <c r="V121" s="466"/>
      <c r="W121" s="5"/>
    </row>
    <row r="122" spans="1:23" x14ac:dyDescent="0.2">
      <c r="A122" s="57" t="s">
        <v>910</v>
      </c>
      <c r="B122" s="58" t="s">
        <v>913</v>
      </c>
      <c r="C122" s="41">
        <v>7000</v>
      </c>
      <c r="D122" s="40"/>
      <c r="E122" s="124"/>
      <c r="F122" s="124"/>
      <c r="G122" s="124"/>
      <c r="H122" s="124"/>
      <c r="I122" s="124"/>
      <c r="J122" s="124"/>
      <c r="K122" s="124"/>
      <c r="L122" s="124"/>
      <c r="M122" s="124"/>
      <c r="N122" s="443">
        <v>7000</v>
      </c>
      <c r="O122" s="444"/>
      <c r="P122" s="445"/>
      <c r="Q122" s="446"/>
      <c r="R122" s="447"/>
      <c r="S122" s="448"/>
      <c r="T122" s="449"/>
      <c r="U122" s="450"/>
      <c r="V122" s="466"/>
      <c r="W122" s="5"/>
    </row>
    <row r="123" spans="1:23" x14ac:dyDescent="0.2">
      <c r="A123" s="57" t="s">
        <v>911</v>
      </c>
      <c r="B123" s="58" t="s">
        <v>918</v>
      </c>
      <c r="C123" s="41">
        <v>15000</v>
      </c>
      <c r="D123" s="40"/>
      <c r="E123" s="124"/>
      <c r="F123" s="124"/>
      <c r="G123" s="124"/>
      <c r="H123" s="124"/>
      <c r="I123" s="124"/>
      <c r="J123" s="124"/>
      <c r="K123" s="124"/>
      <c r="L123" s="124"/>
      <c r="M123" s="124"/>
      <c r="N123" s="443">
        <v>15000</v>
      </c>
      <c r="O123" s="444"/>
      <c r="P123" s="445"/>
      <c r="Q123" s="446"/>
      <c r="R123" s="447"/>
      <c r="S123" s="448"/>
      <c r="T123" s="449"/>
      <c r="U123" s="450"/>
      <c r="V123" s="466"/>
      <c r="W123" s="5"/>
    </row>
    <row r="124" spans="1:23" x14ac:dyDescent="0.2">
      <c r="A124" s="57" t="s">
        <v>912</v>
      </c>
      <c r="B124" s="58" t="s">
        <v>914</v>
      </c>
      <c r="C124" s="41">
        <v>25000</v>
      </c>
      <c r="D124" s="40"/>
      <c r="E124" s="124"/>
      <c r="F124" s="124"/>
      <c r="G124" s="124"/>
      <c r="H124" s="124"/>
      <c r="I124" s="124"/>
      <c r="J124" s="124"/>
      <c r="K124" s="124"/>
      <c r="L124" s="124"/>
      <c r="M124" s="124"/>
      <c r="N124" s="443">
        <v>25000</v>
      </c>
      <c r="O124" s="444"/>
      <c r="P124" s="445"/>
      <c r="Q124" s="446"/>
      <c r="R124" s="447"/>
      <c r="S124" s="448"/>
      <c r="T124" s="449"/>
      <c r="U124" s="450"/>
      <c r="V124" s="466"/>
      <c r="W124" s="5"/>
    </row>
    <row r="125" spans="1:23" x14ac:dyDescent="0.2">
      <c r="A125" s="57" t="s">
        <v>915</v>
      </c>
      <c r="B125" s="58" t="s">
        <v>916</v>
      </c>
      <c r="C125" s="41">
        <v>1000</v>
      </c>
      <c r="D125" s="40"/>
      <c r="E125" s="124"/>
      <c r="F125" s="124"/>
      <c r="G125" s="124"/>
      <c r="H125" s="124"/>
      <c r="I125" s="124"/>
      <c r="J125" s="124"/>
      <c r="K125" s="124"/>
      <c r="L125" s="124"/>
      <c r="M125" s="124"/>
      <c r="N125" s="443"/>
      <c r="O125" s="444">
        <v>1000</v>
      </c>
      <c r="P125" s="445"/>
      <c r="Q125" s="446"/>
      <c r="R125" s="447"/>
      <c r="S125" s="448"/>
      <c r="T125" s="449"/>
      <c r="U125" s="450"/>
      <c r="V125" s="466"/>
      <c r="W125" s="5"/>
    </row>
    <row r="126" spans="1:23" x14ac:dyDescent="0.2">
      <c r="A126" s="57" t="s">
        <v>917</v>
      </c>
      <c r="B126" s="58" t="s">
        <v>919</v>
      </c>
      <c r="C126" s="41">
        <v>2720</v>
      </c>
      <c r="D126" s="40"/>
      <c r="E126" s="124"/>
      <c r="F126" s="124"/>
      <c r="G126" s="124"/>
      <c r="H126" s="124"/>
      <c r="I126" s="124"/>
      <c r="J126" s="124"/>
      <c r="K126" s="124"/>
      <c r="L126" s="124"/>
      <c r="M126" s="124"/>
      <c r="N126" s="443"/>
      <c r="O126" s="444"/>
      <c r="P126" s="445"/>
      <c r="Q126" s="446"/>
      <c r="R126" s="447"/>
      <c r="S126" s="448"/>
      <c r="T126" s="449"/>
      <c r="U126" s="450"/>
      <c r="V126" s="466">
        <v>2720</v>
      </c>
      <c r="W126" s="5"/>
    </row>
    <row r="127" spans="1:23" x14ac:dyDescent="0.2">
      <c r="A127" s="57" t="s">
        <v>929</v>
      </c>
      <c r="B127" s="58" t="s">
        <v>930</v>
      </c>
      <c r="C127" s="41">
        <v>1000</v>
      </c>
      <c r="D127" s="40"/>
      <c r="E127" s="124"/>
      <c r="F127" s="124"/>
      <c r="G127" s="124"/>
      <c r="H127" s="124"/>
      <c r="I127" s="124"/>
      <c r="J127" s="124"/>
      <c r="K127" s="124"/>
      <c r="L127" s="124"/>
      <c r="M127" s="124"/>
      <c r="N127" s="443"/>
      <c r="O127" s="444"/>
      <c r="P127" s="445"/>
      <c r="Q127" s="446"/>
      <c r="R127" s="447"/>
      <c r="S127" s="448"/>
      <c r="T127" s="449"/>
      <c r="U127" s="450"/>
      <c r="V127" s="466"/>
      <c r="W127" s="5">
        <v>1000</v>
      </c>
    </row>
    <row r="128" spans="1:23" x14ac:dyDescent="0.2">
      <c r="A128" s="57" t="s">
        <v>960</v>
      </c>
      <c r="B128" s="58" t="s">
        <v>959</v>
      </c>
      <c r="C128" s="41">
        <v>2500</v>
      </c>
      <c r="D128" s="40"/>
      <c r="E128" s="124"/>
      <c r="F128" s="124"/>
      <c r="G128" s="124"/>
      <c r="H128" s="124"/>
      <c r="I128" s="124"/>
      <c r="J128" s="124"/>
      <c r="K128" s="124"/>
      <c r="L128" s="124"/>
      <c r="M128" s="124"/>
      <c r="N128" s="443"/>
      <c r="O128" s="444"/>
      <c r="P128" s="445"/>
      <c r="Q128" s="446"/>
      <c r="R128" s="447"/>
      <c r="S128" s="448"/>
      <c r="T128" s="449"/>
      <c r="U128" s="450"/>
      <c r="V128" s="466"/>
      <c r="W128" s="5"/>
    </row>
    <row r="129" spans="1:23" x14ac:dyDescent="0.2">
      <c r="A129" s="57" t="s">
        <v>502</v>
      </c>
      <c r="B129" s="58" t="s">
        <v>489</v>
      </c>
      <c r="C129" s="41">
        <f>10000+650+2500</f>
        <v>13150</v>
      </c>
      <c r="D129" s="40"/>
      <c r="E129" s="124"/>
      <c r="F129" s="124"/>
      <c r="G129" s="124"/>
      <c r="H129" s="124"/>
      <c r="I129" s="124"/>
      <c r="J129" s="124"/>
      <c r="K129" s="124"/>
      <c r="L129" s="124"/>
      <c r="M129" s="124"/>
      <c r="N129" s="443">
        <v>10000</v>
      </c>
      <c r="O129" s="444"/>
      <c r="P129" s="445"/>
      <c r="Q129" s="446"/>
      <c r="R129" s="447"/>
      <c r="S129" s="448"/>
      <c r="T129" s="449">
        <v>650</v>
      </c>
      <c r="U129" s="450"/>
      <c r="V129" s="466"/>
      <c r="W129" s="5">
        <v>2500</v>
      </c>
    </row>
    <row r="130" spans="1:23" x14ac:dyDescent="0.2">
      <c r="A130" s="57" t="s">
        <v>680</v>
      </c>
      <c r="B130" s="58" t="s">
        <v>681</v>
      </c>
      <c r="C130" s="41">
        <v>800</v>
      </c>
      <c r="D130" s="40"/>
      <c r="E130" s="124"/>
      <c r="F130" s="124"/>
      <c r="G130" s="124"/>
      <c r="H130" s="124"/>
      <c r="I130" s="124"/>
      <c r="J130" s="124"/>
      <c r="K130" s="124"/>
      <c r="L130" s="124"/>
      <c r="M130" s="124"/>
      <c r="N130" s="443"/>
      <c r="O130" s="444"/>
      <c r="P130" s="445"/>
      <c r="Q130" s="446"/>
      <c r="R130" s="447"/>
      <c r="S130" s="448"/>
      <c r="T130" s="449"/>
      <c r="U130" s="450"/>
      <c r="V130" s="466"/>
      <c r="W130" s="5"/>
    </row>
    <row r="131" spans="1:23" x14ac:dyDescent="0.2">
      <c r="A131" s="57" t="s">
        <v>686</v>
      </c>
      <c r="B131" s="58" t="s">
        <v>687</v>
      </c>
      <c r="C131" s="41">
        <v>1500</v>
      </c>
      <c r="D131" s="40"/>
      <c r="E131" s="124"/>
      <c r="F131" s="124"/>
      <c r="G131" s="124"/>
      <c r="H131" s="124"/>
      <c r="I131" s="124"/>
      <c r="J131" s="124"/>
      <c r="K131" s="124"/>
      <c r="L131" s="124"/>
      <c r="M131" s="124"/>
      <c r="N131" s="443"/>
      <c r="O131" s="444"/>
      <c r="P131" s="445"/>
      <c r="Q131" s="446"/>
      <c r="R131" s="447"/>
      <c r="S131" s="448"/>
      <c r="T131" s="449"/>
      <c r="U131" s="450"/>
      <c r="V131" s="466"/>
      <c r="W131" s="5"/>
    </row>
    <row r="132" spans="1:23" x14ac:dyDescent="0.2">
      <c r="A132" s="57" t="s">
        <v>624</v>
      </c>
      <c r="B132" s="58" t="s">
        <v>625</v>
      </c>
      <c r="C132" s="41">
        <v>1000</v>
      </c>
      <c r="D132" s="40"/>
      <c r="E132" s="124"/>
      <c r="F132" s="124"/>
      <c r="G132" s="124"/>
      <c r="H132" s="124"/>
      <c r="I132" s="124"/>
      <c r="J132" s="124"/>
      <c r="K132" s="124"/>
      <c r="L132" s="124"/>
      <c r="M132" s="124"/>
      <c r="N132" s="443"/>
      <c r="O132" s="444"/>
      <c r="P132" s="445"/>
      <c r="Q132" s="446"/>
      <c r="R132" s="447"/>
      <c r="S132" s="448"/>
      <c r="T132" s="449"/>
      <c r="U132" s="450"/>
      <c r="V132" s="466"/>
      <c r="W132" s="5"/>
    </row>
    <row r="133" spans="1:23" x14ac:dyDescent="0.2">
      <c r="A133" s="57" t="s">
        <v>162</v>
      </c>
      <c r="B133" s="58" t="s">
        <v>626</v>
      </c>
      <c r="C133" s="41">
        <v>500</v>
      </c>
      <c r="D133" s="40"/>
      <c r="E133" s="124"/>
      <c r="F133" s="124"/>
      <c r="G133" s="124"/>
      <c r="H133" s="124"/>
      <c r="I133" s="124"/>
      <c r="J133" s="124"/>
      <c r="K133" s="124"/>
      <c r="L133" s="124"/>
      <c r="M133" s="124"/>
      <c r="N133" s="443"/>
      <c r="O133" s="444"/>
      <c r="P133" s="445"/>
      <c r="Q133" s="446"/>
      <c r="R133" s="447"/>
      <c r="S133" s="448"/>
      <c r="T133" s="449"/>
      <c r="U133" s="450"/>
      <c r="V133" s="466"/>
      <c r="W133" s="5"/>
    </row>
    <row r="134" spans="1:23" x14ac:dyDescent="0.2">
      <c r="A134" s="54" t="s">
        <v>153</v>
      </c>
      <c r="B134" s="56" t="s">
        <v>34</v>
      </c>
      <c r="C134" s="40"/>
      <c r="D134" s="40">
        <f>SUM(C135:C136)</f>
        <v>3000</v>
      </c>
      <c r="E134" s="124"/>
      <c r="F134" s="124"/>
      <c r="G134" s="124"/>
      <c r="H134" s="124"/>
      <c r="I134" s="124"/>
      <c r="J134" s="124"/>
      <c r="K134" s="124"/>
      <c r="L134" s="124"/>
      <c r="M134" s="124"/>
      <c r="N134" s="443"/>
      <c r="O134" s="444"/>
      <c r="P134" s="445"/>
      <c r="Q134" s="446"/>
      <c r="R134" s="447"/>
      <c r="S134" s="448"/>
      <c r="T134" s="449"/>
      <c r="U134" s="450"/>
      <c r="V134" s="466"/>
      <c r="W134" s="5"/>
    </row>
    <row r="135" spans="1:23" x14ac:dyDescent="0.2">
      <c r="A135" s="57" t="s">
        <v>154</v>
      </c>
      <c r="B135" s="58" t="s">
        <v>36</v>
      </c>
      <c r="C135" s="41">
        <v>1000</v>
      </c>
      <c r="D135" s="41"/>
      <c r="E135" s="13"/>
      <c r="F135" s="13"/>
      <c r="G135" s="13"/>
      <c r="H135" s="13"/>
      <c r="I135" s="13"/>
      <c r="J135" s="13"/>
      <c r="K135" s="13"/>
      <c r="L135" s="13"/>
      <c r="M135" s="13"/>
      <c r="N135" s="443"/>
      <c r="O135" s="444"/>
      <c r="P135" s="445"/>
      <c r="Q135" s="446"/>
      <c r="R135" s="447"/>
      <c r="S135" s="448"/>
      <c r="T135" s="449"/>
      <c r="U135" s="450"/>
      <c r="V135" s="466"/>
      <c r="W135" s="5"/>
    </row>
    <row r="136" spans="1:23" x14ac:dyDescent="0.2">
      <c r="A136" s="57" t="s">
        <v>155</v>
      </c>
      <c r="B136" s="58" t="s">
        <v>38</v>
      </c>
      <c r="C136" s="41">
        <v>2000</v>
      </c>
      <c r="D136" s="41"/>
      <c r="E136" s="13"/>
      <c r="F136" s="13"/>
      <c r="G136" s="13"/>
      <c r="H136" s="13"/>
      <c r="I136" s="13"/>
      <c r="J136" s="13"/>
      <c r="K136" s="13"/>
      <c r="L136" s="13"/>
      <c r="M136" s="13"/>
      <c r="N136" s="443">
        <v>8000</v>
      </c>
      <c r="O136" s="444"/>
      <c r="P136" s="445"/>
      <c r="Q136" s="446"/>
      <c r="R136" s="447"/>
      <c r="S136" s="448"/>
      <c r="T136" s="449"/>
      <c r="U136" s="450"/>
      <c r="V136" s="466"/>
      <c r="W136" s="5"/>
    </row>
    <row r="137" spans="1:23" x14ac:dyDescent="0.2">
      <c r="A137" s="54" t="s">
        <v>156</v>
      </c>
      <c r="B137" s="56" t="s">
        <v>627</v>
      </c>
      <c r="C137" s="41"/>
      <c r="D137" s="40">
        <f>SUM(C138:C141)</f>
        <v>27550</v>
      </c>
      <c r="E137" s="124"/>
      <c r="F137" s="124"/>
      <c r="G137" s="124"/>
      <c r="H137" s="124"/>
      <c r="I137" s="124"/>
      <c r="J137" s="124"/>
      <c r="K137" s="124"/>
      <c r="L137" s="124"/>
      <c r="M137" s="124"/>
      <c r="N137" s="443"/>
      <c r="O137" s="444"/>
      <c r="P137" s="445"/>
      <c r="Q137" s="446"/>
      <c r="R137" s="447"/>
      <c r="S137" s="448"/>
      <c r="T137" s="449"/>
      <c r="U137" s="450"/>
      <c r="V137" s="466"/>
      <c r="W137" s="5"/>
    </row>
    <row r="138" spans="1:23" x14ac:dyDescent="0.2">
      <c r="A138" s="57" t="s">
        <v>524</v>
      </c>
      <c r="B138" s="58" t="s">
        <v>628</v>
      </c>
      <c r="C138" s="41">
        <f>8000+300+7000+1200+1050+3150</f>
        <v>20700</v>
      </c>
      <c r="D138" s="41"/>
      <c r="E138" s="13"/>
      <c r="F138" s="13"/>
      <c r="G138" s="13"/>
      <c r="H138" s="13"/>
      <c r="I138" s="13"/>
      <c r="J138" s="13"/>
      <c r="K138" s="13"/>
      <c r="L138" s="13"/>
      <c r="M138" s="13"/>
      <c r="N138" s="443"/>
      <c r="O138" s="444">
        <v>8000</v>
      </c>
      <c r="P138" s="445"/>
      <c r="Q138" s="446">
        <v>300</v>
      </c>
      <c r="R138" s="447">
        <v>7000</v>
      </c>
      <c r="S138" s="448"/>
      <c r="T138" s="449"/>
      <c r="U138" s="450">
        <v>1200</v>
      </c>
      <c r="V138" s="466"/>
      <c r="W138" s="5">
        <f>1050+3150</f>
        <v>4200</v>
      </c>
    </row>
    <row r="139" spans="1:23" x14ac:dyDescent="0.2">
      <c r="A139" s="57" t="s">
        <v>157</v>
      </c>
      <c r="B139" s="58" t="s">
        <v>842</v>
      </c>
      <c r="C139" s="41">
        <f>300+1050</f>
        <v>1350</v>
      </c>
      <c r="D139" s="41"/>
      <c r="E139" s="13"/>
      <c r="F139" s="13"/>
      <c r="G139" s="13"/>
      <c r="H139" s="13"/>
      <c r="I139" s="13"/>
      <c r="J139" s="13"/>
      <c r="K139" s="13"/>
      <c r="L139" s="13"/>
      <c r="M139" s="13"/>
      <c r="N139" s="443"/>
      <c r="O139" s="444"/>
      <c r="P139" s="445"/>
      <c r="Q139" s="446"/>
      <c r="R139" s="447"/>
      <c r="S139" s="448"/>
      <c r="T139" s="449"/>
      <c r="U139" s="450">
        <v>300</v>
      </c>
      <c r="V139" s="466"/>
      <c r="W139" s="5">
        <v>1050</v>
      </c>
    </row>
    <row r="140" spans="1:23" x14ac:dyDescent="0.2">
      <c r="A140" s="57" t="s">
        <v>158</v>
      </c>
      <c r="B140" s="58" t="s">
        <v>843</v>
      </c>
      <c r="C140" s="41">
        <v>3000</v>
      </c>
      <c r="D140" s="41"/>
      <c r="E140" s="13"/>
      <c r="F140" s="13"/>
      <c r="G140" s="13"/>
      <c r="H140" s="13"/>
      <c r="I140" s="13"/>
      <c r="J140" s="13"/>
      <c r="K140" s="13"/>
      <c r="L140" s="13"/>
      <c r="M140" s="13"/>
      <c r="N140" s="443"/>
      <c r="O140" s="444"/>
      <c r="P140" s="445"/>
      <c r="Q140" s="446"/>
      <c r="R140" s="447"/>
      <c r="S140" s="448"/>
      <c r="T140" s="449"/>
      <c r="U140" s="450"/>
      <c r="V140" s="466"/>
      <c r="W140" s="5"/>
    </row>
    <row r="141" spans="1:23" x14ac:dyDescent="0.2">
      <c r="A141" s="57" t="s">
        <v>572</v>
      </c>
      <c r="B141" s="58" t="s">
        <v>629</v>
      </c>
      <c r="C141" s="41">
        <v>2500</v>
      </c>
      <c r="D141" s="41"/>
      <c r="E141" s="13"/>
      <c r="F141" s="13"/>
      <c r="G141" s="13"/>
      <c r="H141" s="13"/>
      <c r="I141" s="13"/>
      <c r="J141" s="13"/>
      <c r="K141" s="13"/>
      <c r="L141" s="13"/>
      <c r="M141" s="13"/>
      <c r="N141" s="443">
        <v>2500</v>
      </c>
      <c r="O141" s="444"/>
      <c r="P141" s="445"/>
      <c r="Q141" s="446"/>
      <c r="R141" s="447"/>
      <c r="S141" s="448"/>
      <c r="T141" s="449"/>
      <c r="U141" s="450"/>
      <c r="V141" s="466"/>
      <c r="W141" s="5"/>
    </row>
    <row r="142" spans="1:23" x14ac:dyDescent="0.2">
      <c r="A142" s="54" t="s">
        <v>309</v>
      </c>
      <c r="B142" s="56" t="s">
        <v>110</v>
      </c>
      <c r="C142" s="41"/>
      <c r="D142" s="40">
        <f>SUM(C143)</f>
        <v>4473.3599999999997</v>
      </c>
      <c r="E142" s="124"/>
      <c r="F142" s="124"/>
      <c r="G142" s="124"/>
      <c r="H142" s="124"/>
      <c r="I142" s="124"/>
      <c r="J142" s="124"/>
      <c r="K142" s="124"/>
      <c r="L142" s="124"/>
      <c r="M142" s="124"/>
      <c r="N142" s="443"/>
      <c r="O142" s="444"/>
      <c r="P142" s="445"/>
      <c r="Q142" s="446"/>
      <c r="R142" s="447"/>
      <c r="S142" s="448"/>
      <c r="T142" s="449"/>
      <c r="U142" s="450"/>
      <c r="V142" s="466"/>
      <c r="W142" s="5"/>
    </row>
    <row r="143" spans="1:23" x14ac:dyDescent="0.2">
      <c r="A143" s="57" t="s">
        <v>684</v>
      </c>
      <c r="B143" s="58" t="s">
        <v>685</v>
      </c>
      <c r="C143" s="41">
        <v>4473.3599999999997</v>
      </c>
      <c r="D143" s="41"/>
      <c r="E143" s="13"/>
      <c r="F143" s="13"/>
      <c r="G143" s="13"/>
      <c r="H143" s="13"/>
      <c r="I143" s="13"/>
      <c r="J143" s="13"/>
      <c r="K143" s="13"/>
      <c r="L143" s="13"/>
      <c r="M143" s="13"/>
      <c r="N143" s="443"/>
      <c r="O143" s="444"/>
      <c r="P143" s="445">
        <v>4473.3599999999997</v>
      </c>
      <c r="Q143" s="446"/>
      <c r="R143" s="447"/>
      <c r="S143" s="448"/>
      <c r="T143" s="449"/>
      <c r="U143" s="450"/>
      <c r="V143" s="466"/>
      <c r="W143" s="5"/>
    </row>
    <row r="144" spans="1:23" ht="22.5" x14ac:dyDescent="0.2">
      <c r="A144" s="54" t="s">
        <v>141</v>
      </c>
      <c r="B144" s="59" t="s">
        <v>677</v>
      </c>
      <c r="C144" s="41"/>
      <c r="D144" s="40">
        <f>SUM(C145:C146)</f>
        <v>762306.81</v>
      </c>
      <c r="E144" s="124"/>
      <c r="F144" s="124"/>
      <c r="G144" s="124"/>
      <c r="H144" s="124"/>
      <c r="I144" s="124"/>
      <c r="J144" s="124"/>
      <c r="K144" s="124"/>
      <c r="L144" s="124"/>
      <c r="M144" s="124"/>
      <c r="N144" s="443"/>
      <c r="O144" s="444"/>
      <c r="P144" s="445"/>
      <c r="Q144" s="446"/>
      <c r="R144" s="447"/>
      <c r="S144" s="448"/>
      <c r="T144" s="449"/>
      <c r="U144" s="450"/>
      <c r="V144" s="466"/>
      <c r="W144" s="5"/>
    </row>
    <row r="145" spans="1:23" x14ac:dyDescent="0.2">
      <c r="A145" s="57" t="s">
        <v>678</v>
      </c>
      <c r="B145" s="60" t="s">
        <v>679</v>
      </c>
      <c r="C145" s="41">
        <v>5000</v>
      </c>
      <c r="D145" s="41"/>
      <c r="E145" s="13"/>
      <c r="F145" s="13"/>
      <c r="G145" s="13"/>
      <c r="H145" s="13"/>
      <c r="I145" s="13"/>
      <c r="J145" s="13"/>
      <c r="K145" s="13"/>
      <c r="L145" s="13"/>
      <c r="M145" s="13"/>
      <c r="N145" s="443"/>
      <c r="O145" s="444"/>
      <c r="P145" s="445"/>
      <c r="Q145" s="446"/>
      <c r="R145" s="447"/>
      <c r="S145" s="448"/>
      <c r="T145" s="449"/>
      <c r="U145" s="450"/>
      <c r="V145" s="466"/>
      <c r="W145" s="5">
        <v>3000</v>
      </c>
    </row>
    <row r="146" spans="1:23" x14ac:dyDescent="0.2">
      <c r="A146" s="57" t="s">
        <v>143</v>
      </c>
      <c r="B146" s="58" t="s">
        <v>593</v>
      </c>
      <c r="C146" s="41">
        <f>23000+734306.81</f>
        <v>757306.81</v>
      </c>
      <c r="D146" s="41"/>
      <c r="E146" s="13"/>
      <c r="F146" s="13"/>
      <c r="G146" s="13"/>
      <c r="H146" s="13"/>
      <c r="I146" s="13"/>
      <c r="J146" s="13"/>
      <c r="K146" s="13"/>
      <c r="L146" s="13"/>
      <c r="M146" s="13"/>
      <c r="N146" s="443">
        <v>23000</v>
      </c>
      <c r="O146" s="444"/>
      <c r="P146" s="445"/>
      <c r="Q146" s="446"/>
      <c r="R146" s="447"/>
      <c r="S146" s="448"/>
      <c r="T146" s="449"/>
      <c r="U146" s="450"/>
      <c r="V146" s="466"/>
      <c r="W146" s="5"/>
    </row>
    <row r="147" spans="1:23" x14ac:dyDescent="0.2">
      <c r="A147" s="54" t="s">
        <v>630</v>
      </c>
      <c r="B147" s="56" t="s">
        <v>52</v>
      </c>
      <c r="C147" s="41"/>
      <c r="D147" s="40">
        <f>SUM(C148)</f>
        <v>1000</v>
      </c>
      <c r="E147" s="124"/>
      <c r="F147" s="124"/>
      <c r="G147" s="124"/>
      <c r="H147" s="124"/>
      <c r="I147" s="124"/>
      <c r="J147" s="124"/>
      <c r="K147" s="124"/>
      <c r="L147" s="124"/>
      <c r="M147" s="124"/>
      <c r="N147" s="443"/>
      <c r="O147" s="444"/>
      <c r="P147" s="445"/>
      <c r="Q147" s="446"/>
      <c r="R147" s="447"/>
      <c r="S147" s="448"/>
      <c r="T147" s="449"/>
      <c r="U147" s="450"/>
      <c r="V147" s="466"/>
      <c r="W147" s="5"/>
    </row>
    <row r="148" spans="1:23" x14ac:dyDescent="0.2">
      <c r="A148" s="57" t="s">
        <v>631</v>
      </c>
      <c r="B148" s="58" t="s">
        <v>632</v>
      </c>
      <c r="C148" s="41">
        <v>1000</v>
      </c>
      <c r="D148" s="41"/>
      <c r="E148" s="13"/>
      <c r="F148" s="13"/>
      <c r="G148" s="13"/>
      <c r="H148" s="13"/>
      <c r="I148" s="13"/>
      <c r="J148" s="13"/>
      <c r="K148" s="13"/>
      <c r="L148" s="13"/>
      <c r="M148" s="13"/>
      <c r="N148" s="443"/>
      <c r="O148" s="444">
        <v>1000</v>
      </c>
      <c r="P148" s="445"/>
      <c r="Q148" s="446"/>
      <c r="R148" s="447"/>
      <c r="S148" s="448"/>
      <c r="T148" s="449"/>
      <c r="U148" s="450"/>
      <c r="V148" s="466"/>
      <c r="W148" s="5"/>
    </row>
    <row r="149" spans="1:23" x14ac:dyDescent="0.2">
      <c r="A149" s="54" t="s">
        <v>159</v>
      </c>
      <c r="B149" s="56" t="s">
        <v>633</v>
      </c>
      <c r="C149" s="41"/>
      <c r="D149" s="40">
        <f>SUM(C150:C163)</f>
        <v>396014.1</v>
      </c>
      <c r="E149" s="124"/>
      <c r="F149" s="124"/>
      <c r="G149" s="124"/>
      <c r="H149" s="124"/>
      <c r="I149" s="124"/>
      <c r="J149" s="124"/>
      <c r="K149" s="124"/>
      <c r="L149" s="124"/>
      <c r="M149" s="124"/>
      <c r="N149" s="443"/>
      <c r="O149" s="444"/>
      <c r="P149" s="445"/>
      <c r="Q149" s="446"/>
      <c r="R149" s="447"/>
      <c r="S149" s="448"/>
      <c r="T149" s="449"/>
      <c r="U149" s="450"/>
      <c r="V149" s="466"/>
      <c r="W149" s="5"/>
    </row>
    <row r="150" spans="1:23" x14ac:dyDescent="0.2">
      <c r="A150" s="57" t="s">
        <v>634</v>
      </c>
      <c r="B150" s="58" t="s">
        <v>326</v>
      </c>
      <c r="C150" s="41">
        <f>P150+T150+U150+V150+W150</f>
        <v>321308</v>
      </c>
      <c r="D150" s="40"/>
      <c r="E150" s="124"/>
      <c r="F150" s="124"/>
      <c r="G150" s="124"/>
      <c r="H150" s="124"/>
      <c r="I150" s="124"/>
      <c r="J150" s="124"/>
      <c r="K150" s="124"/>
      <c r="L150" s="124"/>
      <c r="M150" s="124"/>
      <c r="N150" s="443"/>
      <c r="O150" s="444"/>
      <c r="P150" s="445">
        <v>79056</v>
      </c>
      <c r="Q150" s="446"/>
      <c r="R150" s="447"/>
      <c r="S150" s="448"/>
      <c r="T150" s="449">
        <v>39312</v>
      </c>
      <c r="U150" s="450">
        <v>50800</v>
      </c>
      <c r="V150" s="466">
        <v>90820</v>
      </c>
      <c r="W150" s="5">
        <v>61320</v>
      </c>
    </row>
    <row r="151" spans="1:23" x14ac:dyDescent="0.2">
      <c r="A151" s="57" t="s">
        <v>160</v>
      </c>
      <c r="B151" s="58" t="s">
        <v>168</v>
      </c>
      <c r="C151" s="41">
        <f>100+110+220+2100+1050</f>
        <v>3580</v>
      </c>
      <c r="D151" s="154"/>
      <c r="E151" s="523"/>
      <c r="F151" s="523"/>
      <c r="G151" s="523"/>
      <c r="H151" s="523"/>
      <c r="I151" s="523"/>
      <c r="J151" s="523"/>
      <c r="K151" s="523"/>
      <c r="L151" s="523"/>
      <c r="M151" s="523"/>
      <c r="N151" s="443"/>
      <c r="O151" s="444"/>
      <c r="P151" s="445"/>
      <c r="Q151" s="446">
        <v>100</v>
      </c>
      <c r="R151" s="447"/>
      <c r="S151" s="448"/>
      <c r="T151" s="449">
        <v>110</v>
      </c>
      <c r="U151" s="450">
        <v>220</v>
      </c>
      <c r="V151" s="466"/>
      <c r="W151" s="5">
        <f>2100+1050</f>
        <v>3150</v>
      </c>
    </row>
    <row r="152" spans="1:23" x14ac:dyDescent="0.2">
      <c r="A152" s="57" t="s">
        <v>635</v>
      </c>
      <c r="B152" s="58" t="s">
        <v>62</v>
      </c>
      <c r="C152" s="41">
        <f>300+50+100+1200+2400</f>
        <v>4050</v>
      </c>
      <c r="D152" s="154"/>
      <c r="E152" s="523"/>
      <c r="F152" s="523"/>
      <c r="G152" s="523"/>
      <c r="H152" s="523"/>
      <c r="I152" s="523"/>
      <c r="J152" s="523"/>
      <c r="K152" s="523"/>
      <c r="L152" s="523"/>
      <c r="M152" s="523"/>
      <c r="N152" s="443"/>
      <c r="O152" s="444"/>
      <c r="P152" s="445"/>
      <c r="Q152" s="446">
        <v>300</v>
      </c>
      <c r="R152" s="447">
        <v>50</v>
      </c>
      <c r="S152" s="448">
        <v>100</v>
      </c>
      <c r="T152" s="449"/>
      <c r="U152" s="450"/>
      <c r="V152" s="466"/>
      <c r="W152" s="5">
        <f>1200+2400</f>
        <v>3600</v>
      </c>
    </row>
    <row r="153" spans="1:23" x14ac:dyDescent="0.2">
      <c r="A153" s="57" t="s">
        <v>526</v>
      </c>
      <c r="B153" s="58" t="s">
        <v>64</v>
      </c>
      <c r="C153" s="41">
        <v>5000</v>
      </c>
      <c r="D153" s="154"/>
      <c r="E153" s="523"/>
      <c r="F153" s="523"/>
      <c r="G153" s="523"/>
      <c r="H153" s="523"/>
      <c r="I153" s="523"/>
      <c r="J153" s="523"/>
      <c r="K153" s="523"/>
      <c r="L153" s="523"/>
      <c r="M153" s="523"/>
      <c r="N153" s="443"/>
      <c r="O153" s="444"/>
      <c r="P153" s="445"/>
      <c r="Q153" s="446"/>
      <c r="R153" s="447"/>
      <c r="S153" s="448"/>
      <c r="T153" s="449"/>
      <c r="U153" s="450"/>
      <c r="V153" s="466"/>
      <c r="W153" s="5"/>
    </row>
    <row r="154" spans="1:23" x14ac:dyDescent="0.2">
      <c r="A154" s="57" t="s">
        <v>192</v>
      </c>
      <c r="B154" s="58" t="s">
        <v>636</v>
      </c>
      <c r="C154" s="41">
        <v>12500</v>
      </c>
      <c r="D154" s="154"/>
      <c r="E154" s="523"/>
      <c r="F154" s="523"/>
      <c r="G154" s="523"/>
      <c r="H154" s="523"/>
      <c r="I154" s="523"/>
      <c r="J154" s="523"/>
      <c r="K154" s="523"/>
      <c r="L154" s="523"/>
      <c r="M154" s="523"/>
      <c r="N154" s="443"/>
      <c r="O154" s="444"/>
      <c r="P154" s="445"/>
      <c r="Q154" s="446"/>
      <c r="R154" s="447"/>
      <c r="S154" s="448"/>
      <c r="T154" s="449"/>
      <c r="U154" s="450"/>
      <c r="V154" s="466"/>
      <c r="W154" s="5"/>
    </row>
    <row r="155" spans="1:23" x14ac:dyDescent="0.2">
      <c r="A155" s="57" t="s">
        <v>164</v>
      </c>
      <c r="B155" s="58" t="s">
        <v>95</v>
      </c>
      <c r="C155" s="41">
        <v>500</v>
      </c>
      <c r="D155" s="154"/>
      <c r="E155" s="523"/>
      <c r="F155" s="523"/>
      <c r="G155" s="523"/>
      <c r="H155" s="523"/>
      <c r="I155" s="523"/>
      <c r="J155" s="523"/>
      <c r="K155" s="523"/>
      <c r="L155" s="523"/>
      <c r="M155" s="523"/>
      <c r="N155" s="443"/>
      <c r="O155" s="444"/>
      <c r="P155" s="445"/>
      <c r="Q155" s="446"/>
      <c r="R155" s="447"/>
      <c r="S155" s="448"/>
      <c r="T155" s="449"/>
      <c r="U155" s="450"/>
      <c r="V155" s="466"/>
      <c r="W155" s="5"/>
    </row>
    <row r="156" spans="1:23" x14ac:dyDescent="0.2">
      <c r="A156" s="57" t="s">
        <v>637</v>
      </c>
      <c r="B156" s="58" t="s">
        <v>638</v>
      </c>
      <c r="C156" s="41">
        <v>800</v>
      </c>
      <c r="D156" s="154"/>
      <c r="E156" s="523"/>
      <c r="F156" s="523"/>
      <c r="G156" s="523"/>
      <c r="H156" s="523"/>
      <c r="I156" s="523"/>
      <c r="J156" s="523"/>
      <c r="K156" s="523"/>
      <c r="L156" s="523"/>
      <c r="M156" s="523"/>
      <c r="N156" s="443"/>
      <c r="O156" s="444">
        <v>800</v>
      </c>
      <c r="P156" s="445"/>
      <c r="Q156" s="446"/>
      <c r="R156" s="447"/>
      <c r="S156" s="448"/>
      <c r="T156" s="449"/>
      <c r="U156" s="450"/>
      <c r="V156" s="466"/>
      <c r="W156" s="5"/>
    </row>
    <row r="157" spans="1:23" x14ac:dyDescent="0.2">
      <c r="A157" s="57" t="s">
        <v>639</v>
      </c>
      <c r="B157" s="58" t="s">
        <v>640</v>
      </c>
      <c r="C157" s="41">
        <f>1000+5250</f>
        <v>6250</v>
      </c>
      <c r="D157" s="154"/>
      <c r="E157" s="523"/>
      <c r="F157" s="523"/>
      <c r="G157" s="523"/>
      <c r="H157" s="523"/>
      <c r="I157" s="523"/>
      <c r="J157" s="523"/>
      <c r="K157" s="523"/>
      <c r="L157" s="523"/>
      <c r="M157" s="523"/>
      <c r="N157" s="443"/>
      <c r="O157" s="444"/>
      <c r="P157" s="445"/>
      <c r="Q157" s="446"/>
      <c r="R157" s="447"/>
      <c r="S157" s="448"/>
      <c r="T157" s="449"/>
      <c r="U157" s="450"/>
      <c r="V157" s="466">
        <v>1000</v>
      </c>
      <c r="W157" s="5">
        <v>5250</v>
      </c>
    </row>
    <row r="158" spans="1:23" x14ac:dyDescent="0.2">
      <c r="A158" s="57" t="s">
        <v>641</v>
      </c>
      <c r="B158" s="58" t="s">
        <v>642</v>
      </c>
      <c r="C158" s="41">
        <v>3000</v>
      </c>
      <c r="D158" s="154"/>
      <c r="E158" s="523"/>
      <c r="F158" s="523"/>
      <c r="G158" s="523"/>
      <c r="H158" s="523"/>
      <c r="I158" s="523"/>
      <c r="J158" s="523"/>
      <c r="K158" s="523"/>
      <c r="L158" s="523"/>
      <c r="M158" s="523"/>
      <c r="N158" s="443"/>
      <c r="O158" s="444"/>
      <c r="P158" s="445"/>
      <c r="Q158" s="446"/>
      <c r="R158" s="447"/>
      <c r="S158" s="448"/>
      <c r="T158" s="449"/>
      <c r="U158" s="450"/>
      <c r="V158" s="466"/>
      <c r="W158" s="5">
        <v>3000</v>
      </c>
    </row>
    <row r="159" spans="1:23" x14ac:dyDescent="0.2">
      <c r="A159" s="57" t="s">
        <v>305</v>
      </c>
      <c r="B159" s="58" t="s">
        <v>643</v>
      </c>
      <c r="C159" s="41">
        <f>140+5250+3150</f>
        <v>8540</v>
      </c>
      <c r="D159" s="154"/>
      <c r="E159" s="523"/>
      <c r="F159" s="523"/>
      <c r="G159" s="523"/>
      <c r="H159" s="523"/>
      <c r="I159" s="523"/>
      <c r="J159" s="523"/>
      <c r="K159" s="523"/>
      <c r="L159" s="523"/>
      <c r="M159" s="523"/>
      <c r="N159" s="443">
        <v>5250</v>
      </c>
      <c r="O159" s="444"/>
      <c r="P159" s="445"/>
      <c r="Q159" s="446">
        <v>140</v>
      </c>
      <c r="R159" s="447"/>
      <c r="S159" s="448"/>
      <c r="T159" s="449"/>
      <c r="U159" s="450"/>
      <c r="V159" s="466"/>
      <c r="W159" s="5">
        <v>3150</v>
      </c>
    </row>
    <row r="160" spans="1:23" x14ac:dyDescent="0.2">
      <c r="A160" s="57" t="s">
        <v>335</v>
      </c>
      <c r="B160" s="58" t="s">
        <v>682</v>
      </c>
      <c r="C160" s="41">
        <f>5834.1+4000</f>
        <v>9834.1</v>
      </c>
      <c r="D160" s="154"/>
      <c r="E160" s="523"/>
      <c r="F160" s="523"/>
      <c r="G160" s="523"/>
      <c r="H160" s="523"/>
      <c r="I160" s="523"/>
      <c r="J160" s="523"/>
      <c r="K160" s="523"/>
      <c r="L160" s="523"/>
      <c r="M160" s="523"/>
      <c r="N160" s="443"/>
      <c r="O160" s="444"/>
      <c r="P160" s="445">
        <f>4634.1+600+600</f>
        <v>5834.1</v>
      </c>
      <c r="Q160" s="446"/>
      <c r="R160" s="447"/>
      <c r="S160" s="448"/>
      <c r="T160" s="449"/>
      <c r="U160" s="450"/>
      <c r="V160" s="466">
        <v>4000</v>
      </c>
      <c r="W160" s="5"/>
    </row>
    <row r="161" spans="1:23" x14ac:dyDescent="0.2">
      <c r="A161" s="57" t="s">
        <v>494</v>
      </c>
      <c r="B161" s="58" t="s">
        <v>644</v>
      </c>
      <c r="C161" s="41">
        <v>2625</v>
      </c>
      <c r="D161" s="154"/>
      <c r="E161" s="523"/>
      <c r="F161" s="523"/>
      <c r="G161" s="523"/>
      <c r="H161" s="523"/>
      <c r="I161" s="523"/>
      <c r="J161" s="523"/>
      <c r="K161" s="523"/>
      <c r="L161" s="523"/>
      <c r="M161" s="523"/>
      <c r="N161" s="443"/>
      <c r="O161" s="444"/>
      <c r="P161" s="445"/>
      <c r="Q161" s="446"/>
      <c r="R161" s="447"/>
      <c r="S161" s="448"/>
      <c r="T161" s="449"/>
      <c r="U161" s="450"/>
      <c r="V161" s="466"/>
      <c r="W161" s="5"/>
    </row>
    <row r="162" spans="1:23" x14ac:dyDescent="0.2">
      <c r="A162" s="57" t="s">
        <v>645</v>
      </c>
      <c r="B162" s="58" t="s">
        <v>646</v>
      </c>
      <c r="C162" s="41">
        <v>500</v>
      </c>
      <c r="D162" s="154"/>
      <c r="E162" s="523"/>
      <c r="F162" s="523"/>
      <c r="G162" s="523"/>
      <c r="H162" s="523"/>
      <c r="I162" s="523"/>
      <c r="J162" s="523"/>
      <c r="K162" s="523"/>
      <c r="L162" s="523"/>
      <c r="M162" s="523"/>
      <c r="N162" s="443"/>
      <c r="O162" s="444"/>
      <c r="P162" s="445"/>
      <c r="Q162" s="446"/>
      <c r="R162" s="447"/>
      <c r="S162" s="448"/>
      <c r="T162" s="449"/>
      <c r="U162" s="450"/>
      <c r="V162" s="466"/>
      <c r="W162" s="5"/>
    </row>
    <row r="163" spans="1:23" x14ac:dyDescent="0.2">
      <c r="A163" s="57" t="s">
        <v>647</v>
      </c>
      <c r="B163" s="58" t="s">
        <v>683</v>
      </c>
      <c r="C163" s="41">
        <f>1700+1510+500+500+2800+1410+1160+1004.3+4442.7+2500</f>
        <v>17527</v>
      </c>
      <c r="D163" s="154"/>
      <c r="E163" s="523"/>
      <c r="F163" s="523"/>
      <c r="G163" s="523"/>
      <c r="H163" s="523"/>
      <c r="I163" s="523"/>
      <c r="J163" s="523"/>
      <c r="K163" s="523"/>
      <c r="L163" s="523"/>
      <c r="M163" s="523"/>
      <c r="N163" s="443"/>
      <c r="O163" s="444"/>
      <c r="P163" s="445">
        <v>1700</v>
      </c>
      <c r="Q163" s="446">
        <v>500</v>
      </c>
      <c r="R163" s="447">
        <f>500+1510</f>
        <v>2010</v>
      </c>
      <c r="S163" s="448">
        <v>2800</v>
      </c>
      <c r="T163" s="449">
        <v>1410</v>
      </c>
      <c r="U163" s="450">
        <v>1160</v>
      </c>
      <c r="V163" s="466">
        <f>1004.3+4442.7</f>
        <v>5447</v>
      </c>
      <c r="W163" s="5">
        <v>2500</v>
      </c>
    </row>
    <row r="164" spans="1:23" x14ac:dyDescent="0.2">
      <c r="A164" s="54" t="s">
        <v>648</v>
      </c>
      <c r="B164" s="56" t="s">
        <v>649</v>
      </c>
      <c r="C164" s="41"/>
      <c r="D164" s="40">
        <f>SUM(C165:C167)</f>
        <v>9150</v>
      </c>
      <c r="E164" s="124"/>
      <c r="F164" s="124"/>
      <c r="G164" s="124"/>
      <c r="H164" s="124"/>
      <c r="I164" s="124"/>
      <c r="J164" s="124"/>
      <c r="K164" s="124"/>
      <c r="L164" s="124"/>
      <c r="M164" s="124"/>
      <c r="N164" s="443"/>
      <c r="O164" s="444"/>
      <c r="P164" s="445"/>
      <c r="Q164" s="446"/>
      <c r="R164" s="447"/>
      <c r="S164" s="448"/>
      <c r="T164" s="449"/>
      <c r="U164" s="450"/>
      <c r="V164" s="466"/>
      <c r="W164" s="5"/>
    </row>
    <row r="165" spans="1:23" x14ac:dyDescent="0.2">
      <c r="A165" s="57" t="s">
        <v>650</v>
      </c>
      <c r="B165" s="58" t="s">
        <v>42</v>
      </c>
      <c r="C165" s="41">
        <f>6500+150+1500</f>
        <v>8150</v>
      </c>
      <c r="D165" s="154"/>
      <c r="E165" s="523"/>
      <c r="F165" s="523"/>
      <c r="G165" s="523"/>
      <c r="H165" s="523"/>
      <c r="I165" s="523"/>
      <c r="J165" s="523"/>
      <c r="K165" s="523"/>
      <c r="L165" s="523"/>
      <c r="M165" s="523"/>
      <c r="N165" s="443"/>
      <c r="O165" s="444"/>
      <c r="P165" s="445">
        <v>6500</v>
      </c>
      <c r="Q165" s="446"/>
      <c r="R165" s="447"/>
      <c r="S165" s="448"/>
      <c r="T165" s="449"/>
      <c r="U165" s="450">
        <v>150</v>
      </c>
      <c r="V165" s="466"/>
      <c r="W165" s="5">
        <v>1500</v>
      </c>
    </row>
    <row r="166" spans="1:23" x14ac:dyDescent="0.2">
      <c r="A166" s="57" t="s">
        <v>688</v>
      </c>
      <c r="B166" s="58" t="s">
        <v>189</v>
      </c>
      <c r="C166" s="41">
        <v>500</v>
      </c>
      <c r="D166" s="154"/>
      <c r="E166" s="523"/>
      <c r="F166" s="523"/>
      <c r="G166" s="523"/>
      <c r="H166" s="523"/>
      <c r="I166" s="523"/>
      <c r="J166" s="523"/>
      <c r="K166" s="523"/>
      <c r="L166" s="523"/>
      <c r="M166" s="523"/>
      <c r="N166" s="443"/>
      <c r="O166" s="444"/>
      <c r="P166" s="445"/>
      <c r="Q166" s="446"/>
      <c r="R166" s="447"/>
      <c r="S166" s="448"/>
      <c r="T166" s="449"/>
      <c r="U166" s="450"/>
      <c r="V166" s="466"/>
      <c r="W166" s="5"/>
    </row>
    <row r="167" spans="1:23" x14ac:dyDescent="0.2">
      <c r="A167" s="57" t="s">
        <v>689</v>
      </c>
      <c r="B167" s="58" t="s">
        <v>690</v>
      </c>
      <c r="C167" s="41">
        <v>500</v>
      </c>
      <c r="D167" s="154"/>
      <c r="E167" s="523"/>
      <c r="F167" s="523"/>
      <c r="G167" s="523"/>
      <c r="H167" s="523"/>
      <c r="I167" s="523"/>
      <c r="J167" s="523"/>
      <c r="K167" s="523"/>
      <c r="L167" s="523"/>
      <c r="M167" s="523"/>
      <c r="N167" s="443"/>
      <c r="O167" s="444"/>
      <c r="P167" s="445"/>
      <c r="Q167" s="446"/>
      <c r="R167" s="447"/>
      <c r="S167" s="448"/>
      <c r="T167" s="449"/>
      <c r="U167" s="450"/>
      <c r="V167" s="466"/>
      <c r="W167" s="5"/>
    </row>
    <row r="168" spans="1:23" x14ac:dyDescent="0.2">
      <c r="A168" s="54" t="s">
        <v>651</v>
      </c>
      <c r="B168" s="56" t="s">
        <v>652</v>
      </c>
      <c r="C168" s="40"/>
      <c r="D168" s="40">
        <f>+D169</f>
        <v>1000</v>
      </c>
      <c r="E168" s="124"/>
      <c r="F168" s="124"/>
      <c r="G168" s="124"/>
      <c r="H168" s="124"/>
      <c r="I168" s="124"/>
      <c r="J168" s="124"/>
      <c r="K168" s="124"/>
      <c r="L168" s="124"/>
      <c r="M168" s="124"/>
      <c r="N168" s="443"/>
      <c r="O168" s="444"/>
      <c r="P168" s="445"/>
      <c r="Q168" s="446"/>
      <c r="R168" s="447"/>
      <c r="S168" s="448"/>
      <c r="T168" s="449"/>
      <c r="U168" s="450"/>
      <c r="V168" s="466"/>
      <c r="W168" s="5"/>
    </row>
    <row r="169" spans="1:23" x14ac:dyDescent="0.2">
      <c r="A169" s="54" t="s">
        <v>653</v>
      </c>
      <c r="B169" s="56" t="s">
        <v>654</v>
      </c>
      <c r="C169" s="41"/>
      <c r="D169" s="40">
        <f>SUM(C170)</f>
        <v>1000</v>
      </c>
      <c r="E169" s="124"/>
      <c r="F169" s="124"/>
      <c r="G169" s="124"/>
      <c r="H169" s="124"/>
      <c r="I169" s="124"/>
      <c r="J169" s="124"/>
      <c r="K169" s="124"/>
      <c r="L169" s="124"/>
      <c r="M169" s="124"/>
      <c r="N169" s="443"/>
      <c r="O169" s="444"/>
      <c r="P169" s="445"/>
      <c r="Q169" s="446"/>
      <c r="R169" s="447"/>
      <c r="S169" s="448"/>
      <c r="T169" s="449"/>
      <c r="U169" s="450"/>
      <c r="V169" s="466"/>
      <c r="W169" s="5"/>
    </row>
    <row r="170" spans="1:23" ht="22.5" x14ac:dyDescent="0.2">
      <c r="A170" s="52" t="s">
        <v>655</v>
      </c>
      <c r="B170" s="66" t="s">
        <v>656</v>
      </c>
      <c r="C170" s="65">
        <v>1000</v>
      </c>
      <c r="D170" s="65"/>
      <c r="E170" s="80"/>
      <c r="F170" s="80"/>
      <c r="G170" s="80"/>
      <c r="H170" s="80"/>
      <c r="I170" s="80"/>
      <c r="J170" s="80"/>
      <c r="K170" s="80"/>
      <c r="L170" s="80"/>
      <c r="M170" s="80"/>
      <c r="N170" s="443"/>
      <c r="O170" s="444"/>
      <c r="P170" s="445"/>
      <c r="Q170" s="446">
        <v>50</v>
      </c>
      <c r="R170" s="447">
        <v>150</v>
      </c>
      <c r="S170" s="448"/>
      <c r="T170" s="449"/>
      <c r="U170" s="450"/>
      <c r="V170" s="466"/>
      <c r="W170" s="5">
        <v>800</v>
      </c>
    </row>
    <row r="171" spans="1:23" x14ac:dyDescent="0.2">
      <c r="A171" s="54">
        <v>8</v>
      </c>
      <c r="B171" s="56" t="s">
        <v>74</v>
      </c>
      <c r="C171" s="40"/>
      <c r="D171" s="40">
        <f>+D172</f>
        <v>24180</v>
      </c>
      <c r="E171" s="124"/>
      <c r="F171" s="124"/>
      <c r="G171" s="124"/>
      <c r="H171" s="124"/>
      <c r="I171" s="124"/>
      <c r="J171" s="124"/>
      <c r="K171" s="124"/>
      <c r="L171" s="124"/>
      <c r="M171" s="124"/>
      <c r="N171" s="443"/>
      <c r="O171" s="444"/>
      <c r="P171" s="445"/>
      <c r="Q171" s="446"/>
      <c r="R171" s="447"/>
      <c r="S171" s="448"/>
      <c r="T171" s="449"/>
      <c r="U171" s="450"/>
      <c r="V171" s="466"/>
      <c r="W171" s="5"/>
    </row>
    <row r="172" spans="1:23" x14ac:dyDescent="0.2">
      <c r="A172" s="54">
        <v>8.4</v>
      </c>
      <c r="B172" s="56" t="s">
        <v>75</v>
      </c>
      <c r="C172" s="40"/>
      <c r="D172" s="40">
        <f>+D173</f>
        <v>24180</v>
      </c>
      <c r="E172" s="124"/>
      <c r="F172" s="124"/>
      <c r="G172" s="124"/>
      <c r="H172" s="124"/>
      <c r="I172" s="124"/>
      <c r="J172" s="124"/>
      <c r="K172" s="124"/>
      <c r="L172" s="124"/>
      <c r="M172" s="124"/>
      <c r="N172" s="443"/>
      <c r="O172" s="444"/>
      <c r="P172" s="445"/>
      <c r="Q172" s="446"/>
      <c r="R172" s="447"/>
      <c r="S172" s="448"/>
      <c r="T172" s="449"/>
      <c r="U172" s="450"/>
      <c r="V172" s="466"/>
      <c r="W172" s="5"/>
    </row>
    <row r="173" spans="1:23" x14ac:dyDescent="0.2">
      <c r="A173" s="54" t="s">
        <v>76</v>
      </c>
      <c r="B173" s="56" t="s">
        <v>77</v>
      </c>
      <c r="C173" s="40"/>
      <c r="D173" s="40">
        <f>SUM(C174:C176)</f>
        <v>24180</v>
      </c>
      <c r="E173" s="124"/>
      <c r="F173" s="124"/>
      <c r="G173" s="124"/>
      <c r="H173" s="124"/>
      <c r="I173" s="124"/>
      <c r="J173" s="124"/>
      <c r="K173" s="124"/>
      <c r="L173" s="124"/>
      <c r="M173" s="124"/>
      <c r="N173" s="443"/>
      <c r="O173" s="444"/>
      <c r="P173" s="445"/>
      <c r="Q173" s="446"/>
      <c r="R173" s="447"/>
      <c r="S173" s="448"/>
      <c r="T173" s="449"/>
      <c r="U173" s="450"/>
      <c r="V173" s="466"/>
      <c r="W173" s="5"/>
    </row>
    <row r="174" spans="1:23" x14ac:dyDescent="0.2">
      <c r="A174" s="57" t="s">
        <v>301</v>
      </c>
      <c r="B174" s="58" t="s">
        <v>149</v>
      </c>
      <c r="C174" s="41">
        <f>6000+2380+1500+3500</f>
        <v>13380</v>
      </c>
      <c r="D174" s="40"/>
      <c r="E174" s="124"/>
      <c r="F174" s="124"/>
      <c r="G174" s="124"/>
      <c r="H174" s="124"/>
      <c r="I174" s="124"/>
      <c r="J174" s="124"/>
      <c r="K174" s="124"/>
      <c r="L174" s="124"/>
      <c r="M174" s="124"/>
      <c r="N174" s="443">
        <v>6000</v>
      </c>
      <c r="O174" s="444"/>
      <c r="P174" s="445"/>
      <c r="Q174" s="446"/>
      <c r="R174" s="447"/>
      <c r="S174" s="448"/>
      <c r="T174" s="449">
        <f>100+1200+80+100+400+500+1500</f>
        <v>3880</v>
      </c>
      <c r="U174" s="450"/>
      <c r="V174" s="466"/>
      <c r="W174" s="5">
        <v>3500</v>
      </c>
    </row>
    <row r="175" spans="1:23" x14ac:dyDescent="0.2">
      <c r="A175" s="57" t="s">
        <v>276</v>
      </c>
      <c r="B175" s="58" t="s">
        <v>44</v>
      </c>
      <c r="C175" s="41">
        <f>3500+3200+2000+2100</f>
        <v>10800</v>
      </c>
      <c r="D175" s="40"/>
      <c r="E175" s="124"/>
      <c r="F175" s="124"/>
      <c r="G175" s="124"/>
      <c r="H175" s="124"/>
      <c r="I175" s="124"/>
      <c r="J175" s="124"/>
      <c r="K175" s="124"/>
      <c r="L175" s="124"/>
      <c r="M175" s="124"/>
      <c r="N175" s="443"/>
      <c r="O175" s="444"/>
      <c r="P175" s="445"/>
      <c r="Q175" s="446">
        <v>3500</v>
      </c>
      <c r="R175" s="447"/>
      <c r="S175" s="448"/>
      <c r="T175" s="449">
        <f>1500+800+900</f>
        <v>3200</v>
      </c>
      <c r="U175" s="450"/>
      <c r="V175" s="466"/>
      <c r="W175" s="5">
        <f>2000+2100</f>
        <v>4100</v>
      </c>
    </row>
    <row r="176" spans="1:23" x14ac:dyDescent="0.2">
      <c r="A176" s="57" t="s">
        <v>78</v>
      </c>
      <c r="B176" s="58" t="s">
        <v>315</v>
      </c>
      <c r="C176" s="41">
        <v>0</v>
      </c>
      <c r="D176" s="40"/>
      <c r="E176" s="124"/>
      <c r="F176" s="124"/>
      <c r="G176" s="124"/>
      <c r="H176" s="124"/>
      <c r="I176" s="124"/>
      <c r="J176" s="124"/>
      <c r="K176" s="124"/>
      <c r="L176" s="124"/>
      <c r="M176" s="124"/>
      <c r="N176" s="443"/>
      <c r="O176" s="444"/>
      <c r="P176" s="445"/>
      <c r="Q176" s="446"/>
      <c r="R176" s="447"/>
      <c r="S176" s="448"/>
      <c r="T176" s="449"/>
      <c r="U176" s="450"/>
      <c r="V176" s="466"/>
      <c r="W176" s="5"/>
    </row>
    <row r="177" spans="1:23" x14ac:dyDescent="0.2">
      <c r="C177" s="3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443"/>
      <c r="O177" s="444"/>
      <c r="P177" s="445"/>
      <c r="Q177" s="446"/>
      <c r="R177" s="447"/>
      <c r="S177" s="448"/>
      <c r="T177" s="449"/>
      <c r="U177" s="450"/>
      <c r="V177" s="466"/>
      <c r="W177" s="5"/>
    </row>
    <row r="178" spans="1:23" x14ac:dyDescent="0.2">
      <c r="A178" s="83"/>
      <c r="C178" s="39"/>
      <c r="D178" s="18"/>
      <c r="E178" s="18"/>
      <c r="F178" s="18"/>
      <c r="G178" s="18"/>
      <c r="H178" s="18"/>
      <c r="I178" s="18"/>
      <c r="J178" s="18"/>
      <c r="K178" s="18"/>
      <c r="L178" s="18"/>
      <c r="M178" s="18"/>
    </row>
    <row r="179" spans="1:23" x14ac:dyDescent="0.2">
      <c r="A179" s="83"/>
      <c r="C179" s="39">
        <f>SUM(C78:C176)</f>
        <v>1363494.27</v>
      </c>
      <c r="D179" s="18"/>
      <c r="E179" s="18"/>
      <c r="F179" s="18"/>
      <c r="G179" s="18"/>
      <c r="H179" s="18"/>
      <c r="I179" s="18"/>
      <c r="J179" s="18"/>
      <c r="K179" s="18"/>
      <c r="L179" s="18"/>
      <c r="M179" s="18"/>
    </row>
    <row r="180" spans="1:23" x14ac:dyDescent="0.2">
      <c r="A180" s="83"/>
      <c r="C180" s="39"/>
      <c r="D180" s="18"/>
      <c r="E180" s="18"/>
      <c r="F180" s="18"/>
      <c r="G180" s="18"/>
      <c r="H180" s="18"/>
      <c r="I180" s="18"/>
      <c r="J180" s="18"/>
      <c r="K180" s="18"/>
      <c r="L180" s="18"/>
      <c r="M180" s="18"/>
    </row>
    <row r="181" spans="1:23" x14ac:dyDescent="0.2">
      <c r="A181" s="83"/>
      <c r="C181" s="39"/>
      <c r="D181" s="18"/>
      <c r="E181" s="18"/>
      <c r="F181" s="18"/>
      <c r="G181" s="18"/>
      <c r="H181" s="18"/>
      <c r="I181" s="18"/>
      <c r="J181" s="18"/>
      <c r="K181" s="18"/>
      <c r="L181" s="18"/>
      <c r="M181" s="18"/>
    </row>
    <row r="182" spans="1:23" x14ac:dyDescent="0.2">
      <c r="A182" s="206"/>
      <c r="C182" s="39"/>
      <c r="D182" s="18"/>
      <c r="E182" s="18"/>
      <c r="F182" s="18"/>
      <c r="G182" s="18"/>
      <c r="H182" s="18"/>
      <c r="I182" s="18"/>
      <c r="J182" s="18"/>
      <c r="K182" s="18"/>
      <c r="L182" s="18"/>
      <c r="M182" s="18"/>
    </row>
    <row r="183" spans="1:23" x14ac:dyDescent="0.2">
      <c r="C183" s="39"/>
      <c r="D183" s="18"/>
      <c r="E183" s="18"/>
      <c r="F183" s="18"/>
      <c r="G183" s="18"/>
      <c r="H183" s="18"/>
      <c r="I183" s="18"/>
      <c r="J183" s="18"/>
      <c r="K183" s="18"/>
      <c r="L183" s="18"/>
      <c r="M183" s="18"/>
    </row>
    <row r="184" spans="1:23" x14ac:dyDescent="0.2">
      <c r="C184" s="39"/>
      <c r="D184" s="18"/>
      <c r="E184" s="18"/>
      <c r="F184" s="18"/>
      <c r="G184" s="18"/>
      <c r="H184" s="18"/>
      <c r="I184" s="18"/>
      <c r="J184" s="18"/>
      <c r="K184" s="18"/>
      <c r="L184" s="18"/>
      <c r="M184" s="18"/>
    </row>
    <row r="185" spans="1:23" x14ac:dyDescent="0.2">
      <c r="C185" s="39"/>
      <c r="D185" s="18"/>
      <c r="E185" s="18"/>
      <c r="F185" s="18"/>
      <c r="G185" s="18"/>
      <c r="H185" s="18"/>
      <c r="I185" s="18"/>
      <c r="J185" s="18"/>
      <c r="K185" s="18"/>
      <c r="L185" s="18"/>
      <c r="M185" s="18"/>
    </row>
    <row r="186" spans="1:23" x14ac:dyDescent="0.2">
      <c r="C186" s="39"/>
      <c r="D186" s="18"/>
      <c r="E186" s="18"/>
      <c r="F186" s="18"/>
      <c r="G186" s="18"/>
      <c r="H186" s="18"/>
      <c r="I186" s="18"/>
      <c r="J186" s="18"/>
      <c r="K186" s="18"/>
      <c r="L186" s="18"/>
      <c r="M186" s="18"/>
    </row>
    <row r="187" spans="1:23" x14ac:dyDescent="0.2">
      <c r="C187" s="39"/>
      <c r="D187" s="18"/>
      <c r="E187" s="18"/>
      <c r="F187" s="18"/>
      <c r="G187" s="18"/>
      <c r="H187" s="18"/>
      <c r="I187" s="18"/>
      <c r="J187" s="18"/>
      <c r="K187" s="18"/>
      <c r="L187" s="18"/>
      <c r="M187" s="18"/>
    </row>
    <row r="188" spans="1:23" x14ac:dyDescent="0.2">
      <c r="C188" s="39"/>
      <c r="D188" s="18"/>
      <c r="E188" s="18"/>
      <c r="F188" s="18"/>
      <c r="G188" s="18"/>
      <c r="H188" s="18"/>
      <c r="I188" s="18"/>
      <c r="J188" s="18"/>
      <c r="K188" s="18"/>
      <c r="L188" s="18"/>
      <c r="M188" s="18"/>
    </row>
    <row r="189" spans="1:23" x14ac:dyDescent="0.2">
      <c r="C189" s="39"/>
      <c r="D189" s="18"/>
      <c r="E189" s="18"/>
      <c r="F189" s="18"/>
      <c r="G189" s="18"/>
      <c r="H189" s="18"/>
      <c r="I189" s="18"/>
      <c r="J189" s="18"/>
      <c r="K189" s="18"/>
      <c r="L189" s="18"/>
      <c r="M189" s="18"/>
    </row>
    <row r="190" spans="1:23" x14ac:dyDescent="0.2">
      <c r="C190" s="39"/>
      <c r="D190" s="18"/>
      <c r="E190" s="18"/>
      <c r="F190" s="18"/>
      <c r="G190" s="18"/>
      <c r="H190" s="18"/>
      <c r="I190" s="18"/>
      <c r="J190" s="18"/>
      <c r="K190" s="18"/>
      <c r="L190" s="18"/>
      <c r="M190" s="18"/>
    </row>
    <row r="191" spans="1:23" x14ac:dyDescent="0.2">
      <c r="C191" s="39"/>
      <c r="D191" s="18"/>
      <c r="E191" s="18"/>
      <c r="F191" s="18"/>
      <c r="G191" s="18"/>
      <c r="H191" s="18"/>
      <c r="I191" s="18"/>
      <c r="J191" s="18"/>
      <c r="K191" s="18"/>
      <c r="L191" s="18"/>
      <c r="M191" s="18"/>
    </row>
    <row r="192" spans="1:23" x14ac:dyDescent="0.2">
      <c r="C192" s="39"/>
      <c r="D192" s="18"/>
      <c r="E192" s="18"/>
      <c r="F192" s="18"/>
      <c r="G192" s="18"/>
      <c r="H192" s="18"/>
      <c r="I192" s="18"/>
      <c r="J192" s="18"/>
      <c r="K192" s="18"/>
      <c r="L192" s="18"/>
      <c r="M192" s="18"/>
    </row>
    <row r="193" spans="3:13" x14ac:dyDescent="0.2">
      <c r="C193" s="39"/>
      <c r="D193" s="18"/>
      <c r="E193" s="18"/>
      <c r="F193" s="18"/>
      <c r="G193" s="18"/>
      <c r="H193" s="18"/>
      <c r="I193" s="18"/>
      <c r="J193" s="18"/>
      <c r="K193" s="18"/>
      <c r="L193" s="18"/>
      <c r="M193" s="18"/>
    </row>
    <row r="194" spans="3:13" x14ac:dyDescent="0.2">
      <c r="C194" s="39"/>
      <c r="D194" s="18"/>
      <c r="E194" s="18"/>
      <c r="F194" s="18"/>
      <c r="G194" s="18"/>
      <c r="H194" s="18"/>
      <c r="I194" s="18"/>
      <c r="J194" s="18"/>
      <c r="K194" s="18"/>
      <c r="L194" s="18"/>
      <c r="M194" s="18"/>
    </row>
    <row r="195" spans="3:13" x14ac:dyDescent="0.2">
      <c r="C195" s="39"/>
      <c r="D195" s="18"/>
      <c r="E195" s="18"/>
      <c r="F195" s="18"/>
      <c r="G195" s="18"/>
      <c r="H195" s="18"/>
      <c r="I195" s="18"/>
      <c r="J195" s="18"/>
      <c r="K195" s="18"/>
      <c r="L195" s="18"/>
      <c r="M195" s="18"/>
    </row>
    <row r="196" spans="3:13" x14ac:dyDescent="0.2">
      <c r="C196" s="39"/>
      <c r="D196" s="18"/>
      <c r="E196" s="18"/>
      <c r="F196" s="18"/>
      <c r="G196" s="18"/>
      <c r="H196" s="18"/>
      <c r="I196" s="18"/>
      <c r="J196" s="18"/>
      <c r="K196" s="18"/>
      <c r="L196" s="18"/>
      <c r="M196" s="18"/>
    </row>
    <row r="197" spans="3:13" x14ac:dyDescent="0.2">
      <c r="C197" s="39"/>
      <c r="D197" s="18"/>
      <c r="E197" s="18"/>
      <c r="F197" s="18"/>
      <c r="G197" s="18"/>
      <c r="H197" s="18"/>
      <c r="I197" s="18"/>
      <c r="J197" s="18"/>
      <c r="K197" s="18"/>
      <c r="L197" s="18"/>
      <c r="M197" s="18"/>
    </row>
    <row r="198" spans="3:13" x14ac:dyDescent="0.2">
      <c r="C198" s="39"/>
      <c r="D198" s="18"/>
      <c r="E198" s="18"/>
      <c r="F198" s="18"/>
      <c r="G198" s="18"/>
      <c r="H198" s="18"/>
      <c r="I198" s="18"/>
      <c r="J198" s="18"/>
      <c r="K198" s="18"/>
      <c r="L198" s="18"/>
      <c r="M198" s="18"/>
    </row>
    <row r="199" spans="3:13" x14ac:dyDescent="0.2">
      <c r="C199" s="39"/>
      <c r="D199" s="18"/>
      <c r="E199" s="18"/>
      <c r="F199" s="18"/>
      <c r="G199" s="18"/>
      <c r="H199" s="18"/>
      <c r="I199" s="18"/>
      <c r="J199" s="18"/>
      <c r="K199" s="18"/>
      <c r="L199" s="18"/>
      <c r="M199" s="18"/>
    </row>
    <row r="200" spans="3:13" x14ac:dyDescent="0.2">
      <c r="C200" s="39"/>
      <c r="D200" s="18"/>
      <c r="E200" s="18"/>
      <c r="F200" s="18"/>
      <c r="G200" s="18"/>
      <c r="H200" s="18"/>
      <c r="I200" s="18"/>
      <c r="J200" s="18"/>
      <c r="K200" s="18"/>
      <c r="L200" s="18"/>
      <c r="M200" s="18"/>
    </row>
    <row r="201" spans="3:13" x14ac:dyDescent="0.2">
      <c r="C201" s="39"/>
      <c r="D201" s="18"/>
      <c r="E201" s="18"/>
      <c r="F201" s="18"/>
      <c r="G201" s="18"/>
      <c r="H201" s="18"/>
      <c r="I201" s="18"/>
      <c r="J201" s="18"/>
      <c r="K201" s="18"/>
      <c r="L201" s="18"/>
      <c r="M201" s="18"/>
    </row>
    <row r="202" spans="3:13" x14ac:dyDescent="0.2">
      <c r="C202" s="39"/>
      <c r="D202" s="18"/>
      <c r="E202" s="18"/>
      <c r="F202" s="18"/>
      <c r="G202" s="18"/>
      <c r="H202" s="18"/>
      <c r="I202" s="18"/>
      <c r="J202" s="18"/>
      <c r="K202" s="18"/>
      <c r="L202" s="18"/>
      <c r="M202" s="18"/>
    </row>
    <row r="203" spans="3:13" x14ac:dyDescent="0.2">
      <c r="C203" s="39"/>
      <c r="D203" s="18"/>
      <c r="E203" s="18"/>
      <c r="F203" s="18"/>
      <c r="G203" s="18"/>
      <c r="H203" s="18"/>
      <c r="I203" s="18"/>
      <c r="J203" s="18"/>
      <c r="K203" s="18"/>
      <c r="L203" s="18"/>
      <c r="M203" s="18"/>
    </row>
    <row r="204" spans="3:13" x14ac:dyDescent="0.2">
      <c r="C204" s="39"/>
      <c r="D204" s="18"/>
      <c r="E204" s="18"/>
      <c r="F204" s="18"/>
      <c r="G204" s="18"/>
      <c r="H204" s="18"/>
      <c r="I204" s="18"/>
      <c r="J204" s="18"/>
      <c r="K204" s="18"/>
      <c r="L204" s="18"/>
      <c r="M204" s="18"/>
    </row>
    <row r="205" spans="3:13" x14ac:dyDescent="0.2">
      <c r="C205" s="39"/>
      <c r="D205" s="18"/>
      <c r="E205" s="18"/>
      <c r="F205" s="18"/>
      <c r="G205" s="18"/>
      <c r="H205" s="18"/>
      <c r="I205" s="18"/>
      <c r="J205" s="18"/>
      <c r="K205" s="18"/>
      <c r="L205" s="18"/>
      <c r="M205" s="18"/>
    </row>
    <row r="206" spans="3:13" x14ac:dyDescent="0.2">
      <c r="C206" s="39"/>
      <c r="D206" s="18"/>
      <c r="E206" s="18"/>
      <c r="F206" s="18"/>
      <c r="G206" s="18"/>
      <c r="H206" s="18"/>
      <c r="I206" s="18"/>
      <c r="J206" s="18"/>
      <c r="K206" s="18"/>
      <c r="L206" s="18"/>
      <c r="M206" s="18"/>
    </row>
    <row r="207" spans="3:13" x14ac:dyDescent="0.2">
      <c r="C207" s="39"/>
      <c r="D207" s="18"/>
      <c r="E207" s="18"/>
      <c r="F207" s="18"/>
      <c r="G207" s="18"/>
      <c r="H207" s="18"/>
      <c r="I207" s="18"/>
      <c r="J207" s="18"/>
      <c r="K207" s="18"/>
      <c r="L207" s="18"/>
      <c r="M207" s="18"/>
    </row>
    <row r="208" spans="3:13" x14ac:dyDescent="0.2">
      <c r="C208" s="39"/>
      <c r="D208" s="18"/>
      <c r="E208" s="18"/>
      <c r="F208" s="18"/>
      <c r="G208" s="18"/>
      <c r="H208" s="18"/>
      <c r="I208" s="18"/>
      <c r="J208" s="18"/>
      <c r="K208" s="18"/>
      <c r="L208" s="18"/>
      <c r="M208" s="18"/>
    </row>
    <row r="209" spans="3:13" x14ac:dyDescent="0.2">
      <c r="C209" s="39"/>
      <c r="D209" s="18"/>
      <c r="E209" s="18"/>
      <c r="F209" s="18"/>
      <c r="G209" s="18"/>
      <c r="H209" s="18"/>
      <c r="I209" s="18"/>
      <c r="J209" s="18"/>
      <c r="K209" s="18"/>
      <c r="L209" s="18"/>
      <c r="M209" s="18"/>
    </row>
    <row r="210" spans="3:13" x14ac:dyDescent="0.2">
      <c r="C210" s="39"/>
      <c r="D210" s="18"/>
      <c r="E210" s="18"/>
      <c r="F210" s="18"/>
      <c r="G210" s="18"/>
      <c r="H210" s="18"/>
      <c r="I210" s="18"/>
      <c r="J210" s="18"/>
      <c r="K210" s="18"/>
      <c r="L210" s="18"/>
      <c r="M210" s="18"/>
    </row>
    <row r="211" spans="3:13" x14ac:dyDescent="0.2">
      <c r="C211" s="39"/>
      <c r="D211" s="18"/>
      <c r="E211" s="18"/>
      <c r="F211" s="18"/>
      <c r="G211" s="18"/>
      <c r="H211" s="18"/>
      <c r="I211" s="18"/>
      <c r="J211" s="18"/>
      <c r="K211" s="18"/>
      <c r="L211" s="18"/>
      <c r="M211" s="18"/>
    </row>
    <row r="212" spans="3:13" x14ac:dyDescent="0.2">
      <c r="C212" s="39"/>
      <c r="D212" s="18"/>
      <c r="E212" s="18"/>
      <c r="F212" s="18"/>
      <c r="G212" s="18"/>
      <c r="H212" s="18"/>
      <c r="I212" s="18"/>
      <c r="J212" s="18"/>
      <c r="K212" s="18"/>
      <c r="L212" s="18"/>
      <c r="M212" s="18"/>
    </row>
    <row r="213" spans="3:13" x14ac:dyDescent="0.2">
      <c r="C213" s="39"/>
      <c r="D213" s="18"/>
      <c r="E213" s="18"/>
      <c r="F213" s="18"/>
      <c r="G213" s="18"/>
      <c r="H213" s="18"/>
      <c r="I213" s="18"/>
      <c r="J213" s="18"/>
      <c r="K213" s="18"/>
      <c r="L213" s="18"/>
      <c r="M213" s="18"/>
    </row>
    <row r="214" spans="3:13" x14ac:dyDescent="0.2">
      <c r="C214" s="39"/>
      <c r="D214" s="18"/>
      <c r="E214" s="18"/>
      <c r="F214" s="18"/>
      <c r="G214" s="18"/>
      <c r="H214" s="18"/>
      <c r="I214" s="18"/>
      <c r="J214" s="18"/>
      <c r="K214" s="18"/>
      <c r="L214" s="18"/>
      <c r="M214" s="18"/>
    </row>
    <row r="215" spans="3:13" x14ac:dyDescent="0.2">
      <c r="C215" s="39"/>
      <c r="D215" s="18"/>
      <c r="E215" s="18"/>
      <c r="F215" s="18"/>
      <c r="G215" s="18"/>
      <c r="H215" s="18"/>
      <c r="I215" s="18"/>
      <c r="J215" s="18"/>
      <c r="K215" s="18"/>
      <c r="L215" s="18"/>
      <c r="M215" s="18"/>
    </row>
    <row r="216" spans="3:13" x14ac:dyDescent="0.2">
      <c r="C216" s="39"/>
      <c r="D216" s="18"/>
      <c r="E216" s="18"/>
      <c r="F216" s="18"/>
      <c r="G216" s="18"/>
      <c r="H216" s="18"/>
      <c r="I216" s="18"/>
      <c r="J216" s="18"/>
      <c r="K216" s="18"/>
      <c r="L216" s="18"/>
      <c r="M216" s="18"/>
    </row>
    <row r="217" spans="3:13" x14ac:dyDescent="0.2">
      <c r="C217" s="39"/>
      <c r="D217" s="18"/>
      <c r="E217" s="18"/>
      <c r="F217" s="18"/>
      <c r="G217" s="18"/>
      <c r="H217" s="18"/>
      <c r="I217" s="18"/>
      <c r="J217" s="18"/>
      <c r="K217" s="18"/>
      <c r="L217" s="18"/>
      <c r="M217" s="18"/>
    </row>
    <row r="218" spans="3:13" x14ac:dyDescent="0.2">
      <c r="C218" s="39"/>
      <c r="D218" s="18"/>
      <c r="E218" s="18"/>
      <c r="F218" s="18"/>
      <c r="G218" s="18"/>
      <c r="H218" s="18"/>
      <c r="I218" s="18"/>
      <c r="J218" s="18"/>
      <c r="K218" s="18"/>
      <c r="L218" s="18"/>
      <c r="M218" s="18"/>
    </row>
    <row r="219" spans="3:13" x14ac:dyDescent="0.2">
      <c r="C219" s="39"/>
      <c r="D219" s="18"/>
      <c r="E219" s="18"/>
      <c r="F219" s="18"/>
      <c r="G219" s="18"/>
      <c r="H219" s="18"/>
      <c r="I219" s="18"/>
      <c r="J219" s="18"/>
      <c r="K219" s="18"/>
      <c r="L219" s="18"/>
      <c r="M219" s="18"/>
    </row>
    <row r="220" spans="3:13" x14ac:dyDescent="0.2">
      <c r="C220" s="39"/>
      <c r="D220" s="18"/>
      <c r="E220" s="18"/>
      <c r="F220" s="18"/>
      <c r="G220" s="18"/>
      <c r="H220" s="18"/>
      <c r="I220" s="18"/>
      <c r="J220" s="18"/>
      <c r="K220" s="18"/>
      <c r="L220" s="18"/>
      <c r="M220" s="18"/>
    </row>
    <row r="221" spans="3:13" x14ac:dyDescent="0.2">
      <c r="C221" s="39"/>
      <c r="D221" s="18"/>
      <c r="E221" s="18"/>
      <c r="F221" s="18"/>
      <c r="G221" s="18"/>
      <c r="H221" s="18"/>
      <c r="I221" s="18"/>
      <c r="J221" s="18"/>
      <c r="K221" s="18"/>
      <c r="L221" s="18"/>
      <c r="M221" s="18"/>
    </row>
    <row r="222" spans="3:13" x14ac:dyDescent="0.2">
      <c r="C222" s="39"/>
      <c r="D222" s="18"/>
      <c r="E222" s="18"/>
      <c r="F222" s="18"/>
      <c r="G222" s="18"/>
      <c r="H222" s="18"/>
      <c r="I222" s="18"/>
      <c r="J222" s="18"/>
      <c r="K222" s="18"/>
      <c r="L222" s="18"/>
      <c r="M222" s="18"/>
    </row>
    <row r="223" spans="3:13" x14ac:dyDescent="0.2">
      <c r="C223" s="39"/>
      <c r="D223" s="18"/>
      <c r="E223" s="18"/>
      <c r="F223" s="18"/>
      <c r="G223" s="18"/>
      <c r="H223" s="18"/>
      <c r="I223" s="18"/>
      <c r="J223" s="18"/>
      <c r="K223" s="18"/>
      <c r="L223" s="18"/>
      <c r="M223" s="18"/>
    </row>
    <row r="224" spans="3:13" x14ac:dyDescent="0.2">
      <c r="C224" s="39"/>
      <c r="D224" s="18"/>
      <c r="E224" s="18"/>
      <c r="F224" s="18"/>
      <c r="G224" s="18"/>
      <c r="H224" s="18"/>
      <c r="I224" s="18"/>
      <c r="J224" s="18"/>
      <c r="K224" s="18"/>
      <c r="L224" s="18"/>
      <c r="M224" s="18"/>
    </row>
    <row r="225" spans="3:13" x14ac:dyDescent="0.2">
      <c r="C225" s="39"/>
      <c r="D225" s="18"/>
      <c r="E225" s="18"/>
      <c r="F225" s="18"/>
      <c r="G225" s="18"/>
      <c r="H225" s="18"/>
      <c r="I225" s="18"/>
      <c r="J225" s="18"/>
      <c r="K225" s="18"/>
      <c r="L225" s="18"/>
      <c r="M225" s="18"/>
    </row>
    <row r="226" spans="3:13" x14ac:dyDescent="0.2">
      <c r="C226" s="39"/>
      <c r="D226" s="18"/>
      <c r="E226" s="18"/>
      <c r="F226" s="18"/>
      <c r="G226" s="18"/>
      <c r="H226" s="18"/>
      <c r="I226" s="18"/>
      <c r="J226" s="18"/>
      <c r="K226" s="18"/>
      <c r="L226" s="18"/>
      <c r="M226" s="18"/>
    </row>
    <row r="227" spans="3:13" x14ac:dyDescent="0.2">
      <c r="C227" s="39"/>
      <c r="D227" s="18"/>
      <c r="E227" s="18"/>
      <c r="F227" s="18"/>
      <c r="G227" s="18"/>
      <c r="H227" s="18"/>
      <c r="I227" s="18"/>
      <c r="J227" s="18"/>
      <c r="K227" s="18"/>
      <c r="L227" s="18"/>
      <c r="M227" s="18"/>
    </row>
    <row r="228" spans="3:13" x14ac:dyDescent="0.2">
      <c r="C228" s="39"/>
      <c r="D228" s="18"/>
      <c r="E228" s="18"/>
      <c r="F228" s="18"/>
      <c r="G228" s="18"/>
      <c r="H228" s="18"/>
      <c r="I228" s="18"/>
      <c r="J228" s="18"/>
      <c r="K228" s="18"/>
      <c r="L228" s="18"/>
      <c r="M228" s="18"/>
    </row>
    <row r="229" spans="3:13" x14ac:dyDescent="0.2">
      <c r="C229" s="39"/>
      <c r="D229" s="18"/>
      <c r="E229" s="18"/>
      <c r="F229" s="18"/>
      <c r="G229" s="18"/>
      <c r="H229" s="18"/>
      <c r="I229" s="18"/>
      <c r="J229" s="18"/>
      <c r="K229" s="18"/>
      <c r="L229" s="18"/>
      <c r="M229" s="18"/>
    </row>
    <row r="230" spans="3:13" x14ac:dyDescent="0.2">
      <c r="C230" s="39"/>
      <c r="D230" s="18"/>
      <c r="E230" s="18"/>
      <c r="F230" s="18"/>
      <c r="G230" s="18"/>
      <c r="H230" s="18"/>
      <c r="I230" s="18"/>
      <c r="J230" s="18"/>
      <c r="K230" s="18"/>
      <c r="L230" s="18"/>
      <c r="M230" s="18"/>
    </row>
    <row r="231" spans="3:13" x14ac:dyDescent="0.2">
      <c r="C231" s="39"/>
      <c r="D231" s="18"/>
      <c r="E231" s="18"/>
      <c r="F231" s="18"/>
      <c r="G231" s="18"/>
      <c r="H231" s="18"/>
      <c r="I231" s="18"/>
      <c r="J231" s="18"/>
      <c r="K231" s="18"/>
      <c r="L231" s="18"/>
      <c r="M231" s="18"/>
    </row>
    <row r="232" spans="3:13" x14ac:dyDescent="0.2">
      <c r="C232" s="39"/>
      <c r="D232" s="18"/>
      <c r="E232" s="18"/>
      <c r="F232" s="18"/>
      <c r="G232" s="18"/>
      <c r="H232" s="18"/>
      <c r="I232" s="18"/>
      <c r="J232" s="18"/>
      <c r="K232" s="18"/>
      <c r="L232" s="18"/>
      <c r="M232" s="18"/>
    </row>
    <row r="233" spans="3:13" x14ac:dyDescent="0.2">
      <c r="C233" s="39"/>
      <c r="D233" s="18"/>
      <c r="E233" s="18"/>
      <c r="F233" s="18"/>
      <c r="G233" s="18"/>
      <c r="H233" s="18"/>
      <c r="I233" s="18"/>
      <c r="J233" s="18"/>
      <c r="K233" s="18"/>
      <c r="L233" s="18"/>
      <c r="M233" s="18"/>
    </row>
    <row r="234" spans="3:13" x14ac:dyDescent="0.2">
      <c r="C234" s="39"/>
      <c r="D234" s="18"/>
      <c r="E234" s="18"/>
      <c r="F234" s="18"/>
      <c r="G234" s="18"/>
      <c r="H234" s="18"/>
      <c r="I234" s="18"/>
      <c r="J234" s="18"/>
      <c r="K234" s="18"/>
      <c r="L234" s="18"/>
      <c r="M234" s="18"/>
    </row>
    <row r="235" spans="3:13" x14ac:dyDescent="0.2">
      <c r="C235" s="39"/>
      <c r="D235" s="18"/>
      <c r="E235" s="18"/>
      <c r="F235" s="18"/>
      <c r="G235" s="18"/>
      <c r="H235" s="18"/>
      <c r="I235" s="18"/>
      <c r="J235" s="18"/>
      <c r="K235" s="18"/>
      <c r="L235" s="18"/>
      <c r="M235" s="18"/>
    </row>
    <row r="236" spans="3:13" x14ac:dyDescent="0.2">
      <c r="C236" s="39"/>
      <c r="D236" s="18"/>
      <c r="E236" s="18"/>
      <c r="F236" s="18"/>
      <c r="G236" s="18"/>
      <c r="H236" s="18"/>
      <c r="I236" s="18"/>
      <c r="J236" s="18"/>
      <c r="K236" s="18"/>
      <c r="L236" s="18"/>
      <c r="M236" s="18"/>
    </row>
    <row r="237" spans="3:13" x14ac:dyDescent="0.2">
      <c r="C237" s="39"/>
      <c r="D237" s="18"/>
      <c r="E237" s="18"/>
      <c r="F237" s="18"/>
      <c r="G237" s="18"/>
      <c r="H237" s="18"/>
      <c r="I237" s="18"/>
      <c r="J237" s="18"/>
      <c r="K237" s="18"/>
      <c r="L237" s="18"/>
      <c r="M237" s="18"/>
    </row>
    <row r="238" spans="3:13" x14ac:dyDescent="0.2">
      <c r="C238" s="39"/>
      <c r="D238" s="18"/>
      <c r="E238" s="18"/>
      <c r="F238" s="18"/>
      <c r="G238" s="18"/>
      <c r="H238" s="18"/>
      <c r="I238" s="18"/>
      <c r="J238" s="18"/>
      <c r="K238" s="18"/>
      <c r="L238" s="18"/>
      <c r="M238" s="18"/>
    </row>
    <row r="239" spans="3:13" x14ac:dyDescent="0.2">
      <c r="C239" s="39"/>
      <c r="D239" s="18"/>
      <c r="E239" s="18"/>
      <c r="F239" s="18"/>
      <c r="G239" s="18"/>
      <c r="H239" s="18"/>
      <c r="I239" s="18"/>
      <c r="J239" s="18"/>
      <c r="K239" s="18"/>
      <c r="L239" s="18"/>
      <c r="M239" s="18"/>
    </row>
    <row r="240" spans="3:13" x14ac:dyDescent="0.2">
      <c r="C240" s="39"/>
      <c r="D240" s="18"/>
      <c r="E240" s="18"/>
      <c r="F240" s="18"/>
      <c r="G240" s="18"/>
      <c r="H240" s="18"/>
      <c r="I240" s="18"/>
      <c r="J240" s="18"/>
      <c r="K240" s="18"/>
      <c r="L240" s="18"/>
      <c r="M240" s="18"/>
    </row>
    <row r="241" spans="3:13" x14ac:dyDescent="0.2">
      <c r="C241" s="39"/>
      <c r="D241" s="18"/>
      <c r="E241" s="18"/>
      <c r="F241" s="18"/>
      <c r="G241" s="18"/>
      <c r="H241" s="18"/>
      <c r="I241" s="18"/>
      <c r="J241" s="18"/>
      <c r="K241" s="18"/>
      <c r="L241" s="18"/>
      <c r="M241" s="18"/>
    </row>
    <row r="242" spans="3:13" x14ac:dyDescent="0.2">
      <c r="C242" s="39"/>
      <c r="D242" s="18"/>
      <c r="E242" s="18"/>
      <c r="F242" s="18"/>
      <c r="G242" s="18"/>
      <c r="H242" s="18"/>
      <c r="I242" s="18"/>
      <c r="J242" s="18"/>
      <c r="K242" s="18"/>
      <c r="L242" s="18"/>
      <c r="M242" s="18"/>
    </row>
    <row r="243" spans="3:13" x14ac:dyDescent="0.2">
      <c r="C243" s="39"/>
      <c r="D243" s="18"/>
      <c r="E243" s="18"/>
      <c r="F243" s="18"/>
      <c r="G243" s="18"/>
      <c r="H243" s="18"/>
      <c r="I243" s="18"/>
      <c r="J243" s="18"/>
      <c r="K243" s="18"/>
      <c r="L243" s="18"/>
      <c r="M243" s="18"/>
    </row>
    <row r="244" spans="3:13" x14ac:dyDescent="0.2">
      <c r="C244" s="39"/>
      <c r="D244" s="18"/>
      <c r="E244" s="18"/>
      <c r="F244" s="18"/>
      <c r="G244" s="18"/>
      <c r="H244" s="18"/>
      <c r="I244" s="18"/>
      <c r="J244" s="18"/>
      <c r="K244" s="18"/>
      <c r="L244" s="18"/>
      <c r="M244" s="18"/>
    </row>
    <row r="245" spans="3:13" x14ac:dyDescent="0.2">
      <c r="C245" s="39"/>
      <c r="D245" s="18"/>
      <c r="E245" s="18"/>
      <c r="F245" s="18"/>
      <c r="G245" s="18"/>
      <c r="H245" s="18"/>
      <c r="I245" s="18"/>
      <c r="J245" s="18"/>
      <c r="K245" s="18"/>
      <c r="L245" s="18"/>
      <c r="M245" s="18"/>
    </row>
    <row r="246" spans="3:13" x14ac:dyDescent="0.2">
      <c r="C246" s="39"/>
      <c r="D246" s="18"/>
      <c r="E246" s="18"/>
      <c r="F246" s="18"/>
      <c r="G246" s="18"/>
      <c r="H246" s="18"/>
      <c r="I246" s="18"/>
      <c r="J246" s="18"/>
      <c r="K246" s="18"/>
      <c r="L246" s="18"/>
      <c r="M246" s="18"/>
    </row>
    <row r="247" spans="3:13" x14ac:dyDescent="0.2">
      <c r="C247" s="39"/>
      <c r="D247" s="18"/>
      <c r="E247" s="18"/>
      <c r="F247" s="18"/>
      <c r="G247" s="18"/>
      <c r="H247" s="18"/>
      <c r="I247" s="18"/>
      <c r="J247" s="18"/>
      <c r="K247" s="18"/>
      <c r="L247" s="18"/>
      <c r="M247" s="18"/>
    </row>
    <row r="248" spans="3:13" x14ac:dyDescent="0.2">
      <c r="C248" s="39"/>
      <c r="D248" s="18"/>
      <c r="E248" s="18"/>
      <c r="F248" s="18"/>
      <c r="G248" s="18"/>
      <c r="H248" s="18"/>
      <c r="I248" s="18"/>
      <c r="J248" s="18"/>
      <c r="K248" s="18"/>
      <c r="L248" s="18"/>
      <c r="M248" s="18"/>
    </row>
    <row r="249" spans="3:13" x14ac:dyDescent="0.2">
      <c r="C249" s="39"/>
      <c r="D249" s="18"/>
      <c r="E249" s="18"/>
      <c r="F249" s="18"/>
      <c r="G249" s="18"/>
      <c r="H249" s="18"/>
      <c r="I249" s="18"/>
      <c r="J249" s="18"/>
      <c r="K249" s="18"/>
      <c r="L249" s="18"/>
      <c r="M249" s="18"/>
    </row>
    <row r="250" spans="3:13" x14ac:dyDescent="0.2">
      <c r="C250" s="39"/>
      <c r="D250" s="18"/>
      <c r="E250" s="18"/>
      <c r="F250" s="18"/>
      <c r="G250" s="18"/>
      <c r="H250" s="18"/>
      <c r="I250" s="18"/>
      <c r="J250" s="18"/>
      <c r="K250" s="18"/>
      <c r="L250" s="18"/>
      <c r="M250" s="18"/>
    </row>
    <row r="251" spans="3:13" x14ac:dyDescent="0.2">
      <c r="C251" s="39"/>
      <c r="D251" s="18"/>
      <c r="E251" s="18"/>
      <c r="F251" s="18"/>
      <c r="G251" s="18"/>
      <c r="H251" s="18"/>
      <c r="I251" s="18"/>
      <c r="J251" s="18"/>
      <c r="K251" s="18"/>
      <c r="L251" s="18"/>
      <c r="M251" s="18"/>
    </row>
    <row r="252" spans="3:13" x14ac:dyDescent="0.2">
      <c r="C252" s="39"/>
      <c r="D252" s="18"/>
      <c r="E252" s="18"/>
      <c r="F252" s="18"/>
      <c r="G252" s="18"/>
      <c r="H252" s="18"/>
      <c r="I252" s="18"/>
      <c r="J252" s="18"/>
      <c r="K252" s="18"/>
      <c r="L252" s="18"/>
      <c r="M252" s="18"/>
    </row>
    <row r="253" spans="3:13" x14ac:dyDescent="0.2">
      <c r="C253" s="39"/>
      <c r="D253" s="18"/>
      <c r="E253" s="18"/>
      <c r="F253" s="18"/>
      <c r="G253" s="18"/>
      <c r="H253" s="18"/>
      <c r="I253" s="18"/>
      <c r="J253" s="18"/>
      <c r="K253" s="18"/>
      <c r="L253" s="18"/>
      <c r="M253" s="18"/>
    </row>
    <row r="254" spans="3:13" x14ac:dyDescent="0.2">
      <c r="C254" s="39"/>
      <c r="D254" s="18"/>
      <c r="E254" s="18"/>
      <c r="F254" s="18"/>
      <c r="G254" s="18"/>
      <c r="H254" s="18"/>
      <c r="I254" s="18"/>
      <c r="J254" s="18"/>
      <c r="K254" s="18"/>
      <c r="L254" s="18"/>
      <c r="M254" s="18"/>
    </row>
    <row r="255" spans="3:13" x14ac:dyDescent="0.2">
      <c r="C255" s="39"/>
      <c r="D255" s="18"/>
      <c r="E255" s="18"/>
      <c r="F255" s="18"/>
      <c r="G255" s="18"/>
      <c r="H255" s="18"/>
      <c r="I255" s="18"/>
      <c r="J255" s="18"/>
      <c r="K255" s="18"/>
      <c r="L255" s="18"/>
      <c r="M255" s="18"/>
    </row>
    <row r="256" spans="3:13" x14ac:dyDescent="0.2">
      <c r="C256" s="39"/>
      <c r="D256" s="18"/>
      <c r="E256" s="18"/>
      <c r="F256" s="18"/>
      <c r="G256" s="18"/>
      <c r="H256" s="18"/>
      <c r="I256" s="18"/>
      <c r="J256" s="18"/>
      <c r="K256" s="18"/>
      <c r="L256" s="18"/>
      <c r="M256" s="18"/>
    </row>
    <row r="257" spans="3:13" x14ac:dyDescent="0.2">
      <c r="C257" s="39"/>
      <c r="D257" s="18"/>
      <c r="E257" s="18"/>
      <c r="F257" s="18"/>
      <c r="G257" s="18"/>
      <c r="H257" s="18"/>
      <c r="I257" s="18"/>
      <c r="J257" s="18"/>
      <c r="K257" s="18"/>
      <c r="L257" s="18"/>
      <c r="M257" s="18"/>
    </row>
    <row r="258" spans="3:13" x14ac:dyDescent="0.2">
      <c r="C258" s="39"/>
      <c r="D258" s="18"/>
      <c r="E258" s="18"/>
      <c r="F258" s="18"/>
      <c r="G258" s="18"/>
      <c r="H258" s="18"/>
      <c r="I258" s="18"/>
      <c r="J258" s="18"/>
      <c r="K258" s="18"/>
      <c r="L258" s="18"/>
      <c r="M258" s="18"/>
    </row>
    <row r="259" spans="3:13" x14ac:dyDescent="0.2">
      <c r="C259" s="39"/>
      <c r="D259" s="18"/>
      <c r="E259" s="18"/>
      <c r="F259" s="18"/>
      <c r="G259" s="18"/>
      <c r="H259" s="18"/>
      <c r="I259" s="18"/>
      <c r="J259" s="18"/>
      <c r="K259" s="18"/>
      <c r="L259" s="18"/>
      <c r="M259" s="18"/>
    </row>
    <row r="260" spans="3:13" x14ac:dyDescent="0.2">
      <c r="C260" s="39"/>
      <c r="D260" s="18"/>
      <c r="E260" s="18"/>
      <c r="F260" s="18"/>
      <c r="G260" s="18"/>
      <c r="H260" s="18"/>
      <c r="I260" s="18"/>
      <c r="J260" s="18"/>
      <c r="K260" s="18"/>
      <c r="L260" s="18"/>
      <c r="M260" s="18"/>
    </row>
    <row r="261" spans="3:13" x14ac:dyDescent="0.2">
      <c r="C261" s="39"/>
      <c r="D261" s="18"/>
      <c r="E261" s="18"/>
      <c r="F261" s="18"/>
      <c r="G261" s="18"/>
      <c r="H261" s="18"/>
      <c r="I261" s="18"/>
      <c r="J261" s="18"/>
      <c r="K261" s="18"/>
      <c r="L261" s="18"/>
      <c r="M261" s="18"/>
    </row>
    <row r="262" spans="3:13" x14ac:dyDescent="0.2">
      <c r="C262" s="39"/>
      <c r="D262" s="18"/>
      <c r="E262" s="18"/>
      <c r="F262" s="18"/>
      <c r="G262" s="18"/>
      <c r="H262" s="18"/>
      <c r="I262" s="18"/>
      <c r="J262" s="18"/>
      <c r="K262" s="18"/>
      <c r="L262" s="18"/>
      <c r="M262" s="18"/>
    </row>
    <row r="263" spans="3:13" x14ac:dyDescent="0.2">
      <c r="C263" s="39"/>
      <c r="D263" s="18"/>
      <c r="E263" s="18"/>
      <c r="F263" s="18"/>
      <c r="G263" s="18"/>
      <c r="H263" s="18"/>
      <c r="I263" s="18"/>
      <c r="J263" s="18"/>
      <c r="K263" s="18"/>
      <c r="L263" s="18"/>
      <c r="M263" s="18"/>
    </row>
    <row r="264" spans="3:13" x14ac:dyDescent="0.2">
      <c r="C264" s="39"/>
      <c r="D264" s="18"/>
      <c r="E264" s="18"/>
      <c r="F264" s="18"/>
      <c r="G264" s="18"/>
      <c r="H264" s="18"/>
      <c r="I264" s="18"/>
      <c r="J264" s="18"/>
      <c r="K264" s="18"/>
      <c r="L264" s="18"/>
      <c r="M264" s="18"/>
    </row>
    <row r="265" spans="3:13" x14ac:dyDescent="0.2">
      <c r="C265" s="39"/>
      <c r="D265" s="18"/>
      <c r="E265" s="18"/>
      <c r="F265" s="18"/>
      <c r="G265" s="18"/>
      <c r="H265" s="18"/>
      <c r="I265" s="18"/>
      <c r="J265" s="18"/>
      <c r="K265" s="18"/>
      <c r="L265" s="18"/>
      <c r="M265" s="18"/>
    </row>
  </sheetData>
  <mergeCells count="4">
    <mergeCell ref="A1:D1"/>
    <mergeCell ref="A2:D2"/>
    <mergeCell ref="A70:D70"/>
    <mergeCell ref="A71:D71"/>
  </mergeCells>
  <phoneticPr fontId="0" type="noConversion"/>
  <pageMargins left="0.98425196850393704" right="0.98425196850393704" top="0.98425196850393704" bottom="0.59055118110236227" header="0" footer="0"/>
  <pageSetup paperSize="9" scale="80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29</vt:i4>
      </vt:variant>
      <vt:variant>
        <vt:lpstr>Rangos con nombre</vt:lpstr>
      </vt:variant>
      <vt:variant>
        <vt:i4>14</vt:i4>
      </vt:variant>
    </vt:vector>
  </HeadingPairs>
  <TitlesOfParts>
    <vt:vector size="43" baseType="lpstr">
      <vt:lpstr>CODIFICACION</vt:lpstr>
      <vt:lpstr>General</vt:lpstr>
      <vt:lpstr>Financiera</vt:lpstr>
      <vt:lpstr>Terminal</vt:lpstr>
      <vt:lpstr>CCBS</vt:lpstr>
      <vt:lpstr>Registro</vt:lpstr>
      <vt:lpstr>VIGILANCIA Y SEGURIDAD</vt:lpstr>
      <vt:lpstr>Educ.Cult </vt:lpstr>
      <vt:lpstr>A.social</vt:lpstr>
      <vt:lpstr>DESARROLLO SOC</vt:lpstr>
      <vt:lpstr>Gestion Riegos</vt:lpstr>
      <vt:lpstr>Planif.</vt:lpstr>
      <vt:lpstr>Movilidad</vt:lpstr>
      <vt:lpstr>SEMERTAZ</vt:lpstr>
      <vt:lpstr>OBRAS PÚBLICAS</vt:lpstr>
      <vt:lpstr>P.y Jard.</vt:lpstr>
      <vt:lpstr>barrido</vt:lpstr>
      <vt:lpstr>ADMINISTRACION ASEO</vt:lpstr>
      <vt:lpstr>RECOLECCION</vt:lpstr>
      <vt:lpstr>disposicion</vt:lpstr>
      <vt:lpstr>educacion</vt:lpstr>
      <vt:lpstr>Cementerio</vt:lpstr>
      <vt:lpstr>Mercados</vt:lpstr>
      <vt:lpstr>Camal</vt:lpstr>
      <vt:lpstr>G.comunes</vt:lpstr>
      <vt:lpstr>TOTAL</vt:lpstr>
      <vt:lpstr>EST.GASTO</vt:lpstr>
      <vt:lpstr>Hoja1</vt:lpstr>
      <vt:lpstr>Vulnerables</vt:lpstr>
      <vt:lpstr>Camal!Área_de_impresión</vt:lpstr>
      <vt:lpstr>Cementerio!Área_de_impresión</vt:lpstr>
      <vt:lpstr>disposicion!Área_de_impresión</vt:lpstr>
      <vt:lpstr>'Educ.Cult '!Área_de_impresión</vt:lpstr>
      <vt:lpstr>educacion!Área_de_impresión</vt:lpstr>
      <vt:lpstr>Financiera!Área_de_impresión</vt:lpstr>
      <vt:lpstr>G.comunes!Área_de_impresión</vt:lpstr>
      <vt:lpstr>General!Área_de_impresión</vt:lpstr>
      <vt:lpstr>Mercados!Área_de_impresión</vt:lpstr>
      <vt:lpstr>'OBRAS PÚBLICAS'!Área_de_impresión</vt:lpstr>
      <vt:lpstr>'P.y Jard.'!Área_de_impresión</vt:lpstr>
      <vt:lpstr>Planif.!Área_de_impresión</vt:lpstr>
      <vt:lpstr>Terminal!Área_de_impresión</vt:lpstr>
      <vt:lpstr>'VIGILANCIA Y SEGURIDAD'!Área_de_impresión</vt:lpstr>
    </vt:vector>
  </TitlesOfParts>
  <Company>Municipio de Azogues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Municipio de Azogues</dc:creator>
  <cp:lastModifiedBy>Usuario</cp:lastModifiedBy>
  <cp:lastPrinted>2016-10-19T20:23:17Z</cp:lastPrinted>
  <dcterms:created xsi:type="dcterms:W3CDTF">2001-09-12T20:28:51Z</dcterms:created>
  <dcterms:modified xsi:type="dcterms:W3CDTF">2016-10-19T20:34:22Z</dcterms:modified>
</cp:coreProperties>
</file>