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projects\Portfolio\Excel\"/>
    </mc:Choice>
  </mc:AlternateContent>
  <xr:revisionPtr revIDLastSave="0" documentId="13_ncr:1_{C0C5E28D-4F92-4E4E-B6BF-E05BDB53094B}" xr6:coauthVersionLast="47" xr6:coauthVersionMax="47" xr10:uidLastSave="{00000000-0000-0000-0000-000000000000}"/>
  <bookViews>
    <workbookView xWindow="28680" yWindow="-120" windowWidth="29040" windowHeight="15720" activeTab="5" xr2:uid="{F189A6D1-B916-463D-89F3-63EC2AC7902D}"/>
  </bookViews>
  <sheets>
    <sheet name="Moving averages" sheetId="13" r:id="rId1"/>
    <sheet name="Regression" sheetId="12" r:id="rId2"/>
    <sheet name="Decomposition" sheetId="10" r:id="rId3"/>
    <sheet name="ExpSmooth" sheetId="9" r:id="rId4"/>
    <sheet name="Perceptron" sheetId="5" r:id="rId5"/>
    <sheet name="GradientDescen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" l="1"/>
  <c r="F14" i="7" s="1"/>
  <c r="E15" i="7"/>
  <c r="F15" i="7" s="1"/>
  <c r="E16" i="7"/>
  <c r="F16" i="7" s="1"/>
  <c r="E17" i="7"/>
  <c r="E18" i="7"/>
  <c r="E13" i="7"/>
  <c r="F13" i="7"/>
  <c r="F20" i="7"/>
  <c r="F18" i="7"/>
  <c r="F17" i="7"/>
  <c r="I4" i="5"/>
  <c r="I5" i="5"/>
  <c r="I6" i="5"/>
  <c r="I7" i="5"/>
  <c r="I8" i="5"/>
  <c r="H4" i="5"/>
  <c r="H5" i="5"/>
  <c r="H6" i="5"/>
  <c r="H7" i="5"/>
  <c r="H8" i="5"/>
  <c r="H3" i="5"/>
  <c r="E5" i="9"/>
  <c r="G14" i="10"/>
  <c r="F5" i="10"/>
  <c r="G5" i="10" s="1"/>
  <c r="B32" i="10" s="1"/>
  <c r="F6" i="10"/>
  <c r="G6" i="10" s="1"/>
  <c r="B29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F15" i="10"/>
  <c r="G15" i="10" s="1"/>
  <c r="F16" i="10"/>
  <c r="G16" i="10" s="1"/>
  <c r="F17" i="10"/>
  <c r="G17" i="10" s="1"/>
  <c r="F18" i="10"/>
  <c r="G18" i="10" s="1"/>
  <c r="F19" i="10"/>
  <c r="G19" i="10" s="1"/>
  <c r="F4" i="10"/>
  <c r="B30" i="10" l="1"/>
  <c r="F19" i="7"/>
  <c r="F21" i="7" s="1"/>
  <c r="I22" i="12" l="1"/>
  <c r="I23" i="12"/>
  <c r="I24" i="12"/>
  <c r="I25" i="12"/>
  <c r="H22" i="12"/>
  <c r="H23" i="12"/>
  <c r="H24" i="12"/>
  <c r="H25" i="12"/>
  <c r="G22" i="12"/>
  <c r="G23" i="12"/>
  <c r="G24" i="12"/>
  <c r="G25" i="12"/>
  <c r="F22" i="12"/>
  <c r="J22" i="12" s="1"/>
  <c r="F23" i="12"/>
  <c r="F24" i="12"/>
  <c r="J24" i="12" s="1"/>
  <c r="F25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" i="12"/>
  <c r="H15" i="13"/>
  <c r="G15" i="13"/>
  <c r="F15" i="13"/>
  <c r="H7" i="13"/>
  <c r="H8" i="13"/>
  <c r="H3" i="13"/>
  <c r="H4" i="13"/>
  <c r="H5" i="13"/>
  <c r="G7" i="13"/>
  <c r="G8" i="13"/>
  <c r="G6" i="13"/>
  <c r="H6" i="13"/>
  <c r="F7" i="13"/>
  <c r="F8" i="13"/>
  <c r="F6" i="13"/>
  <c r="D7" i="13"/>
  <c r="D8" i="13"/>
  <c r="D9" i="13"/>
  <c r="D6" i="13"/>
  <c r="C7" i="13"/>
  <c r="C8" i="13"/>
  <c r="C9" i="13"/>
  <c r="C6" i="13"/>
  <c r="J25" i="12" l="1"/>
  <c r="J23" i="12"/>
  <c r="E3" i="13" l="1"/>
  <c r="E4" i="13" s="1"/>
  <c r="E5" i="13" l="1"/>
  <c r="E6" i="13" l="1"/>
  <c r="E7" i="13" l="1"/>
  <c r="E8" i="13" l="1"/>
  <c r="E9" i="13" l="1"/>
  <c r="F21" i="12" l="1"/>
  <c r="J21" i="12" s="1"/>
  <c r="L21" i="12" s="1"/>
  <c r="F20" i="12"/>
  <c r="J20" i="12" s="1"/>
  <c r="L20" i="12" s="1"/>
  <c r="F19" i="12"/>
  <c r="J19" i="12" s="1"/>
  <c r="L19" i="12" s="1"/>
  <c r="F18" i="12"/>
  <c r="J18" i="12" s="1"/>
  <c r="L18" i="12" s="1"/>
  <c r="F17" i="12"/>
  <c r="J17" i="12" s="1"/>
  <c r="L17" i="12" s="1"/>
  <c r="F16" i="12"/>
  <c r="J16" i="12" s="1"/>
  <c r="L16" i="12" s="1"/>
  <c r="F15" i="12"/>
  <c r="J15" i="12" s="1"/>
  <c r="L15" i="12" s="1"/>
  <c r="F14" i="12"/>
  <c r="J14" i="12" s="1"/>
  <c r="L14" i="12" s="1"/>
  <c r="F13" i="12"/>
  <c r="J13" i="12" s="1"/>
  <c r="L13" i="12" s="1"/>
  <c r="F12" i="12"/>
  <c r="J12" i="12" s="1"/>
  <c r="L12" i="12" s="1"/>
  <c r="F11" i="12"/>
  <c r="J11" i="12" s="1"/>
  <c r="L11" i="12" s="1"/>
  <c r="F10" i="12"/>
  <c r="J10" i="12" s="1"/>
  <c r="L10" i="12" s="1"/>
  <c r="F9" i="12"/>
  <c r="J9" i="12" s="1"/>
  <c r="L9" i="12" s="1"/>
  <c r="F8" i="12"/>
  <c r="J8" i="12" s="1"/>
  <c r="L8" i="12" s="1"/>
  <c r="F7" i="12"/>
  <c r="J7" i="12" s="1"/>
  <c r="L7" i="12" s="1"/>
  <c r="F6" i="12"/>
  <c r="J6" i="12" s="1"/>
  <c r="L6" i="12" s="1"/>
  <c r="F5" i="12"/>
  <c r="J5" i="12" s="1"/>
  <c r="L5" i="12" s="1"/>
  <c r="F4" i="12"/>
  <c r="J4" i="12" s="1"/>
  <c r="L4" i="12" s="1"/>
  <c r="F3" i="12"/>
  <c r="J3" i="12" s="1"/>
  <c r="L3" i="12" s="1"/>
  <c r="F2" i="12"/>
  <c r="J2" i="12" s="1"/>
  <c r="L2" i="12" s="1"/>
  <c r="I16" i="10"/>
  <c r="G4" i="10"/>
  <c r="B31" i="10" s="1"/>
  <c r="L35" i="12" l="1"/>
  <c r="L28" i="12"/>
  <c r="I7" i="10"/>
  <c r="I15" i="10"/>
  <c r="I12" i="10"/>
  <c r="I4" i="10"/>
  <c r="I3" i="10"/>
  <c r="I8" i="10"/>
  <c r="I19" i="10"/>
  <c r="I11" i="10"/>
  <c r="I23" i="10"/>
  <c r="I2" i="10"/>
  <c r="I6" i="10"/>
  <c r="I10" i="10"/>
  <c r="I14" i="10"/>
  <c r="I18" i="10"/>
  <c r="I22" i="10"/>
  <c r="I25" i="10"/>
  <c r="I5" i="10"/>
  <c r="I9" i="10"/>
  <c r="I13" i="10"/>
  <c r="I17" i="10"/>
  <c r="I21" i="10"/>
  <c r="I20" i="10"/>
  <c r="I24" i="10"/>
  <c r="B33" i="10" l="1"/>
  <c r="C32" i="10" l="1"/>
  <c r="C29" i="10"/>
  <c r="C30" i="10"/>
  <c r="C31" i="10"/>
  <c r="J16" i="10" l="1"/>
  <c r="K16" i="10" s="1"/>
  <c r="J4" i="10"/>
  <c r="K4" i="10" s="1"/>
  <c r="J20" i="10"/>
  <c r="K20" i="10" s="1"/>
  <c r="J24" i="10"/>
  <c r="J8" i="10"/>
  <c r="K8" i="10" s="1"/>
  <c r="J12" i="10"/>
  <c r="K12" i="10" s="1"/>
  <c r="J19" i="10"/>
  <c r="K19" i="10" s="1"/>
  <c r="J15" i="10"/>
  <c r="K15" i="10" s="1"/>
  <c r="J7" i="10"/>
  <c r="K7" i="10" s="1"/>
  <c r="J23" i="10"/>
  <c r="J11" i="10"/>
  <c r="K11" i="10" s="1"/>
  <c r="J3" i="10"/>
  <c r="K3" i="10" s="1"/>
  <c r="C33" i="10"/>
  <c r="J2" i="10"/>
  <c r="K2" i="10" s="1"/>
  <c r="K27" i="10" s="1"/>
  <c r="J22" i="10"/>
  <c r="J10" i="10"/>
  <c r="K10" i="10" s="1"/>
  <c r="J18" i="10"/>
  <c r="K18" i="10" s="1"/>
  <c r="J6" i="10"/>
  <c r="K6" i="10" s="1"/>
  <c r="J14" i="10"/>
  <c r="K14" i="10" s="1"/>
  <c r="J21" i="10"/>
  <c r="K21" i="10" s="1"/>
  <c r="J17" i="10"/>
  <c r="K17" i="10" s="1"/>
  <c r="J13" i="10"/>
  <c r="K13" i="10" s="1"/>
  <c r="J5" i="10"/>
  <c r="K5" i="10" s="1"/>
  <c r="J25" i="10"/>
  <c r="J9" i="10"/>
  <c r="K9" i="10" s="1"/>
  <c r="H11" i="10"/>
  <c r="H19" i="10"/>
  <c r="H7" i="10"/>
  <c r="H15" i="10"/>
  <c r="H3" i="10"/>
  <c r="H10" i="10"/>
  <c r="H18" i="10"/>
  <c r="H2" i="10"/>
  <c r="H6" i="10"/>
  <c r="H14" i="10"/>
  <c r="H4" i="10"/>
  <c r="H12" i="10"/>
  <c r="H20" i="10"/>
  <c r="H8" i="10"/>
  <c r="H16" i="10"/>
  <c r="H21" i="10"/>
  <c r="H5" i="10"/>
  <c r="H13" i="10"/>
  <c r="H9" i="10"/>
  <c r="H17" i="10"/>
  <c r="B14" i="9"/>
  <c r="C3" i="9"/>
  <c r="E3" i="9" s="1"/>
  <c r="C4" i="9" l="1"/>
  <c r="D4" i="9" l="1"/>
  <c r="E4" i="9" s="1"/>
  <c r="F5" i="7" l="1"/>
  <c r="I5" i="7" s="1"/>
  <c r="B7" i="7"/>
  <c r="B6" i="7"/>
  <c r="B5" i="7"/>
  <c r="D3" i="5"/>
  <c r="E3" i="5" s="1"/>
  <c r="F3" i="5" l="1"/>
  <c r="G3" i="5"/>
  <c r="G5" i="7"/>
  <c r="H5" i="7"/>
  <c r="D4" i="5" l="1"/>
  <c r="F4" i="5" s="1"/>
  <c r="E4" i="5"/>
  <c r="F6" i="7"/>
  <c r="I6" i="7" s="1"/>
  <c r="C6" i="9" l="1"/>
  <c r="G4" i="5"/>
  <c r="D5" i="5" s="1"/>
  <c r="G6" i="7"/>
  <c r="H6" i="7"/>
  <c r="F7" i="7" s="1"/>
  <c r="I7" i="7" s="1"/>
  <c r="D6" i="9" l="1"/>
  <c r="E6" i="9" s="1"/>
  <c r="G5" i="5"/>
  <c r="F5" i="5"/>
  <c r="E5" i="5"/>
  <c r="G7" i="7"/>
  <c r="H7" i="7"/>
  <c r="C7" i="9" l="1"/>
  <c r="D7" i="9" l="1"/>
  <c r="E7" i="9" s="1"/>
  <c r="C8" i="9" l="1"/>
  <c r="D8" i="9" l="1"/>
  <c r="E8" i="9" s="1"/>
  <c r="I3" i="5" l="1"/>
  <c r="I9" i="5" s="1"/>
</calcChain>
</file>

<file path=xl/sharedStrings.xml><?xml version="1.0" encoding="utf-8"?>
<sst xmlns="http://schemas.openxmlformats.org/spreadsheetml/2006/main" count="267" uniqueCount="115">
  <si>
    <t>y</t>
  </si>
  <si>
    <t>x1</t>
  </si>
  <si>
    <t>x2</t>
  </si>
  <si>
    <t>Theta 1</t>
  </si>
  <si>
    <t>Theta 2</t>
  </si>
  <si>
    <t>Theta 0</t>
  </si>
  <si>
    <t xml:space="preserve">lambda = </t>
  </si>
  <si>
    <t>t</t>
  </si>
  <si>
    <t>eta</t>
  </si>
  <si>
    <t>initialization -----------------------------------------&gt;</t>
  </si>
  <si>
    <t>x_1</t>
  </si>
  <si>
    <t>x_2</t>
  </si>
  <si>
    <r>
      <t>y(θ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+ θ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θ</t>
    </r>
    <r>
      <rPr>
        <b/>
        <sz val="8"/>
        <color theme="1"/>
        <rFont val="Calibri (Body)"/>
      </rPr>
      <t>0</t>
    </r>
    <r>
      <rPr>
        <b/>
        <sz val="11"/>
        <color theme="1"/>
        <rFont val="Calibri"/>
        <family val="2"/>
        <scheme val="minor"/>
      </rPr>
      <t>)</t>
    </r>
  </si>
  <si>
    <t>θ_1</t>
  </si>
  <si>
    <t>θ_2</t>
  </si>
  <si>
    <t>θ_0</t>
  </si>
  <si>
    <t>Initialize ----------------------------------------&gt;</t>
  </si>
  <si>
    <r>
      <t>z=y(θ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+ θ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θ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</si>
  <si>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t>Theta1</t>
  </si>
  <si>
    <t>Theta2</t>
  </si>
  <si>
    <t>Theta0</t>
  </si>
  <si>
    <t>y+labels</t>
  </si>
  <si>
    <t>Objective funcion</t>
  </si>
  <si>
    <t>z</t>
  </si>
  <si>
    <t>Loss</t>
  </si>
  <si>
    <t> Loss term in the objective function?</t>
  </si>
  <si>
    <t>Regularization Term</t>
  </si>
  <si>
    <t>Lambda</t>
  </si>
  <si>
    <t xml:space="preserve"> </t>
  </si>
  <si>
    <t>Error</t>
  </si>
  <si>
    <t>alpha</t>
  </si>
  <si>
    <t>beta</t>
  </si>
  <si>
    <t>round</t>
  </si>
  <si>
    <t>Year</t>
  </si>
  <si>
    <t>Revenue</t>
  </si>
  <si>
    <t>Exp.Smth w/Trend:Smoothed</t>
  </si>
  <si>
    <t>Exp.Smth w/Trend:trend Adjustment</t>
  </si>
  <si>
    <t>Exp.Smth w/Trend:Forecast Including trend(FIT)</t>
  </si>
  <si>
    <t>n</t>
  </si>
  <si>
    <t>Time</t>
  </si>
  <si>
    <t>CMA: centered moving average</t>
  </si>
  <si>
    <t>Seasonal ratio</t>
  </si>
  <si>
    <t>Deseasonalised values</t>
  </si>
  <si>
    <t>Deseasonalized trend projection</t>
  </si>
  <si>
    <t>Final Forecast</t>
  </si>
  <si>
    <t>Seasonal indexes:</t>
  </si>
  <si>
    <t>rescaled</t>
  </si>
  <si>
    <t>Sum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</si>
  <si>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</si>
  <si>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</si>
  <si>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</si>
  <si>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</si>
  <si>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</si>
  <si>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</si>
  <si>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</si>
  <si>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</si>
  <si>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</si>
  <si>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</si>
  <si>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</si>
  <si>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</si>
  <si>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</si>
  <si>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</si>
  <si>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</si>
  <si>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</si>
  <si>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</si>
  <si>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</si>
  <si>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</si>
  <si>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</si>
  <si>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</si>
  <si>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</si>
  <si>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</si>
  <si>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time2</t>
  </si>
  <si>
    <t>Combined Forecast</t>
  </si>
  <si>
    <t>MAPE:</t>
  </si>
  <si>
    <t>TREND REGRESSION</t>
  </si>
  <si>
    <t>CHECK THE PERIOD FOR MEAN ERROR</t>
  </si>
  <si>
    <t>Error 4-year moving average</t>
  </si>
  <si>
    <t>MSE</t>
  </si>
  <si>
    <t>weights</t>
  </si>
  <si>
    <t>4-year moving average</t>
  </si>
  <si>
    <t>4-year weighted moving average</t>
  </si>
  <si>
    <t>Exponential Smoothing(alpha)</t>
  </si>
  <si>
    <t>Error WMA</t>
  </si>
  <si>
    <t>Error ExSM</t>
  </si>
  <si>
    <t>MAD</t>
  </si>
  <si>
    <t>Day</t>
  </si>
  <si>
    <t>Customers+Served</t>
  </si>
  <si>
    <t>Monday</t>
  </si>
  <si>
    <t>10:30am-11:30am</t>
  </si>
  <si>
    <t>11:30am-12:30pm</t>
  </si>
  <si>
    <t>12:30pm-1:30pm</t>
  </si>
  <si>
    <t>1:30pm-2:30pm</t>
  </si>
  <si>
    <t>Tuesday</t>
  </si>
  <si>
    <t>Wednesday</t>
  </si>
  <si>
    <t>Thursday</t>
  </si>
  <si>
    <t>Friday</t>
  </si>
  <si>
    <t>Column1</t>
  </si>
  <si>
    <t>Season</t>
  </si>
  <si>
    <t>Season2</t>
  </si>
  <si>
    <t>Season3</t>
  </si>
  <si>
    <t>Season4</t>
  </si>
  <si>
    <t>Combined Regression Forecast</t>
  </si>
  <si>
    <t>MSE Combined regression</t>
  </si>
  <si>
    <t>Test</t>
  </si>
  <si>
    <t>Randomized input</t>
  </si>
  <si>
    <t>Z =(14*X1-19*X2-21)*Y</t>
  </si>
  <si>
    <t>Deseasonalized regression output</t>
  </si>
  <si>
    <t>ERROR</t>
  </si>
  <si>
    <t>first year</t>
  </si>
  <si>
    <t>second year</t>
  </si>
  <si>
    <t>third year</t>
  </si>
  <si>
    <t>the most recent year</t>
  </si>
  <si>
    <t>three decimal places.</t>
  </si>
  <si>
    <t>3 iterations</t>
  </si>
  <si>
    <t>assumed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</si>
</sst>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8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rgb="FF212529"/>
      <name val="Segoe U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2F0F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1" fillId="0" borderId="0" xfId="0" applyFont="1"/>
    <xf numFmtId="0" fontId="0" fillId="0" borderId="11" xfId="0" applyBorder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0" borderId="16" xfId="0" applyBorder="1"/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Continuous"/>
    </xf>
    <xf numFmtId="0" fontId="0" fillId="5" borderId="0" xfId="0" applyFill="1"/>
    <xf numFmtId="0" fontId="0" fillId="3" borderId="16" xfId="0" applyFill="1" applyBorder="1"/>
    <xf numFmtId="0" fontId="4" fillId="3" borderId="17" xfId="0" applyFont="1" applyFill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/>
    <xf numFmtId="0" fontId="1" fillId="3" borderId="0" xfId="0" applyFont="1" applyFill="1"/>
    <xf numFmtId="0" fontId="4" fillId="0" borderId="0" xfId="0" applyFont="1" applyAlignment="1">
      <alignment horizontal="center"/>
    </xf>
    <xf numFmtId="0" fontId="0" fillId="3" borderId="13" xfId="0" applyFill="1" applyBorder="1"/>
    <xf numFmtId="0" fontId="0" fillId="3" borderId="1" xfId="0" applyFill="1" applyBorder="1"/>
    <xf numFmtId="0" fontId="0" fillId="0" borderId="11" xfId="0" applyBorder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2" borderId="8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  <fill>
        <patternFill patternType="solid">
          <fgColor indexed="64"/>
          <bgColor rgb="FFFFCCF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D2F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Regression!$J$2:$J$25</c:f>
              <c:numCache>
                <c:formatCode>General</c:formatCode>
                <c:ptCount val="24"/>
                <c:pt idx="0">
                  <c:v>13.9</c:v>
                </c:pt>
                <c:pt idx="1">
                  <c:v>50.7</c:v>
                </c:pt>
                <c:pt idx="2">
                  <c:v>44.3</c:v>
                </c:pt>
                <c:pt idx="3">
                  <c:v>9.5</c:v>
                </c:pt>
                <c:pt idx="4">
                  <c:v>18.3</c:v>
                </c:pt>
                <c:pt idx="5">
                  <c:v>55.1</c:v>
                </c:pt>
                <c:pt idx="6">
                  <c:v>48.7</c:v>
                </c:pt>
                <c:pt idx="7">
                  <c:v>13.9</c:v>
                </c:pt>
                <c:pt idx="8">
                  <c:v>22.7</c:v>
                </c:pt>
                <c:pt idx="9">
                  <c:v>59.5</c:v>
                </c:pt>
                <c:pt idx="10">
                  <c:v>53.1</c:v>
                </c:pt>
                <c:pt idx="11">
                  <c:v>18.3</c:v>
                </c:pt>
                <c:pt idx="12">
                  <c:v>27.1</c:v>
                </c:pt>
                <c:pt idx="13">
                  <c:v>63.9</c:v>
                </c:pt>
                <c:pt idx="14">
                  <c:v>57.5</c:v>
                </c:pt>
                <c:pt idx="15">
                  <c:v>22.7</c:v>
                </c:pt>
                <c:pt idx="16">
                  <c:v>31.5</c:v>
                </c:pt>
                <c:pt idx="17">
                  <c:v>68.3</c:v>
                </c:pt>
                <c:pt idx="18">
                  <c:v>61.9</c:v>
                </c:pt>
                <c:pt idx="19">
                  <c:v>27.1</c:v>
                </c:pt>
                <c:pt idx="20">
                  <c:v>35.9</c:v>
                </c:pt>
                <c:pt idx="21">
                  <c:v>72.7</c:v>
                </c:pt>
                <c:pt idx="22">
                  <c:v>66.3</c:v>
                </c:pt>
                <c:pt idx="23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F-49D1-A04F-B14160000A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Regression!$E$2:$E$21</c:f>
              <c:numCache>
                <c:formatCode>General</c:formatCode>
                <c:ptCount val="20"/>
                <c:pt idx="0">
                  <c:v>18</c:v>
                </c:pt>
                <c:pt idx="1">
                  <c:v>52</c:v>
                </c:pt>
                <c:pt idx="2">
                  <c:v>42</c:v>
                </c:pt>
                <c:pt idx="3">
                  <c:v>13</c:v>
                </c:pt>
                <c:pt idx="4">
                  <c:v>16</c:v>
                </c:pt>
                <c:pt idx="5">
                  <c:v>42</c:v>
                </c:pt>
                <c:pt idx="6">
                  <c:v>50</c:v>
                </c:pt>
                <c:pt idx="7">
                  <c:v>16</c:v>
                </c:pt>
                <c:pt idx="8">
                  <c:v>22</c:v>
                </c:pt>
                <c:pt idx="9">
                  <c:v>54</c:v>
                </c:pt>
                <c:pt idx="10">
                  <c:v>61</c:v>
                </c:pt>
                <c:pt idx="11">
                  <c:v>23</c:v>
                </c:pt>
                <c:pt idx="12">
                  <c:v>30</c:v>
                </c:pt>
                <c:pt idx="13">
                  <c:v>72</c:v>
                </c:pt>
                <c:pt idx="14">
                  <c:v>48</c:v>
                </c:pt>
                <c:pt idx="15">
                  <c:v>15</c:v>
                </c:pt>
                <c:pt idx="16">
                  <c:v>27</c:v>
                </c:pt>
                <c:pt idx="17">
                  <c:v>77</c:v>
                </c:pt>
                <c:pt idx="18">
                  <c:v>64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F-49D1-A04F-B1416000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17391"/>
        <c:axId val="1476318639"/>
      </c:lineChart>
      <c:catAx>
        <c:axId val="147631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18639"/>
        <c:crosses val="autoZero"/>
        <c:auto val="1"/>
        <c:lblAlgn val="ctr"/>
        <c:lblOffset val="100"/>
        <c:noMultiLvlLbl val="0"/>
      </c:catAx>
      <c:valAx>
        <c:axId val="1476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Decomposition!$J$1</c:f>
              <c:strCache>
                <c:ptCount val="1"/>
                <c:pt idx="0">
                  <c:v>Final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Decomposition!$J$2:$J$25</c:f>
              <c:numCache>
                <c:formatCode>General</c:formatCode>
                <c:ptCount val="24"/>
                <c:pt idx="0">
                  <c:v>17</c:v>
                </c:pt>
                <c:pt idx="1">
                  <c:v>44.4</c:v>
                </c:pt>
                <c:pt idx="2">
                  <c:v>42.3</c:v>
                </c:pt>
                <c:pt idx="3">
                  <c:v>14.1</c:v>
                </c:pt>
                <c:pt idx="4">
                  <c:v>19.8</c:v>
                </c:pt>
                <c:pt idx="5">
                  <c:v>51.3</c:v>
                </c:pt>
                <c:pt idx="6">
                  <c:v>48.6</c:v>
                </c:pt>
                <c:pt idx="7">
                  <c:v>16.100000000000001</c:v>
                </c:pt>
                <c:pt idx="8">
                  <c:v>22.5</c:v>
                </c:pt>
                <c:pt idx="9">
                  <c:v>58.2</c:v>
                </c:pt>
                <c:pt idx="10">
                  <c:v>55</c:v>
                </c:pt>
                <c:pt idx="11">
                  <c:v>18.2</c:v>
                </c:pt>
                <c:pt idx="12">
                  <c:v>25.3</c:v>
                </c:pt>
                <c:pt idx="13">
                  <c:v>65.099999999999994</c:v>
                </c:pt>
                <c:pt idx="14">
                  <c:v>61.3</c:v>
                </c:pt>
                <c:pt idx="15">
                  <c:v>20.2</c:v>
                </c:pt>
                <c:pt idx="16">
                  <c:v>28</c:v>
                </c:pt>
                <c:pt idx="17">
                  <c:v>72</c:v>
                </c:pt>
                <c:pt idx="18">
                  <c:v>67.599999999999994</c:v>
                </c:pt>
                <c:pt idx="19">
                  <c:v>22.2</c:v>
                </c:pt>
                <c:pt idx="20">
                  <c:v>30.8</c:v>
                </c:pt>
                <c:pt idx="21">
                  <c:v>79</c:v>
                </c:pt>
                <c:pt idx="22">
                  <c:v>74</c:v>
                </c:pt>
                <c:pt idx="23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8-48EA-84E5-503F9C0C4F36}"/>
            </c:ext>
          </c:extLst>
        </c:ser>
        <c:ser>
          <c:idx val="1"/>
          <c:order val="1"/>
          <c:tx>
            <c:strRef>
              <c:f>Decomposition!$E$1</c:f>
              <c:strCache>
                <c:ptCount val="1"/>
                <c:pt idx="0">
                  <c:v>Customers+Served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Decomposition!$E$2:$E$21</c:f>
              <c:numCache>
                <c:formatCode>General</c:formatCode>
                <c:ptCount val="20"/>
                <c:pt idx="0">
                  <c:v>18</c:v>
                </c:pt>
                <c:pt idx="1">
                  <c:v>52</c:v>
                </c:pt>
                <c:pt idx="2">
                  <c:v>42</c:v>
                </c:pt>
                <c:pt idx="3">
                  <c:v>13</c:v>
                </c:pt>
                <c:pt idx="4">
                  <c:v>16</c:v>
                </c:pt>
                <c:pt idx="5">
                  <c:v>42</c:v>
                </c:pt>
                <c:pt idx="6">
                  <c:v>50</c:v>
                </c:pt>
                <c:pt idx="7">
                  <c:v>16</c:v>
                </c:pt>
                <c:pt idx="8">
                  <c:v>22</c:v>
                </c:pt>
                <c:pt idx="9">
                  <c:v>54</c:v>
                </c:pt>
                <c:pt idx="10">
                  <c:v>61</c:v>
                </c:pt>
                <c:pt idx="11">
                  <c:v>23</c:v>
                </c:pt>
                <c:pt idx="12">
                  <c:v>30</c:v>
                </c:pt>
                <c:pt idx="13">
                  <c:v>72</c:v>
                </c:pt>
                <c:pt idx="14">
                  <c:v>48</c:v>
                </c:pt>
                <c:pt idx="15">
                  <c:v>15</c:v>
                </c:pt>
                <c:pt idx="16">
                  <c:v>27</c:v>
                </c:pt>
                <c:pt idx="17">
                  <c:v>77</c:v>
                </c:pt>
                <c:pt idx="18">
                  <c:v>64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8-48EA-84E5-503F9C0C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443407"/>
        <c:axId val="1476429263"/>
      </c:lineChart>
      <c:catAx>
        <c:axId val="147644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29263"/>
        <c:crosses val="autoZero"/>
        <c:auto val="1"/>
        <c:lblAlgn val="ctr"/>
        <c:lblOffset val="100"/>
        <c:noMultiLvlLbl val="0"/>
      </c:catAx>
      <c:valAx>
        <c:axId val="1476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4</xdr:row>
      <xdr:rowOff>171450</xdr:rowOff>
    </xdr:from>
    <xdr:to>
      <xdr:col>19</xdr:col>
      <xdr:colOff>409575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4349B-C8F1-2BA9-0DAE-4DE4FF6A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4</xdr:row>
      <xdr:rowOff>19050</xdr:rowOff>
    </xdr:from>
    <xdr:to>
      <xdr:col>18</xdr:col>
      <xdr:colOff>457200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786D0-7811-8961-D1A5-EFB167DB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0</xdr:row>
      <xdr:rowOff>276225</xdr:rowOff>
    </xdr:from>
    <xdr:to>
      <xdr:col>13</xdr:col>
      <xdr:colOff>526086</xdr:colOff>
      <xdr:row>7</xdr:row>
      <xdr:rowOff>95734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6BDA2-6834-4CA7-9BD1-40AC845A9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4625" y="276225"/>
          <a:ext cx="3297861" cy="18673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151794</xdr:colOff>
      <xdr:row>1</xdr:row>
      <xdr:rowOff>41157</xdr:rowOff>
    </xdr:from>
    <xdr:to>
      <xdr:col>14</xdr:col>
      <xdr:colOff>284989</xdr:colOff>
      <xdr:row>3</xdr:row>
      <xdr:rowOff>163865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CAC446-5634-7215-66B5-87E8F428B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2766" y="270463"/>
          <a:ext cx="3190603" cy="4990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A681BB-9653-4BAF-9300-9AD2979F67A1}" name="Enrolment" displayName="Enrolment" ref="A1:L27" totalsRowCount="1">
  <autoFilter ref="A1:L26" xr:uid="{9BA681BB-9653-4BAF-9300-9AD2979F67A1}"/>
  <tableColumns count="12">
    <tableColumn id="1" xr3:uid="{59DE795B-403F-4FF2-8BF9-CE1C3147A88B}" name="t" totalsRowDxfId="26"/>
    <tableColumn id="2" xr3:uid="{F05560B1-1B03-47B7-A624-D4A47C701509}" name="Day" totalsRowDxfId="25"/>
    <tableColumn id="3" xr3:uid="{24D7F49E-6A80-4830-9837-23BBD29571FC}" name="Time" totalsRowDxfId="24"/>
    <tableColumn id="5" xr3:uid="{99A13E0D-F666-4D1A-936E-9BB93D909800}" name="Season" dataDxfId="23" totalsRowDxfId="22"/>
    <tableColumn id="4" xr3:uid="{45C49608-9C5B-47D2-B2A7-F0EAA2550EA3}" name="Customers+Served" totalsRowDxfId="21"/>
    <tableColumn id="17" xr3:uid="{9FAF1BEA-3D28-4DBE-8B78-8BE99912D962}" name="time2" dataDxfId="20" totalsRowDxfId="19">
      <calculatedColumnFormula>Enrolment[[#This Row],[t]]</calculatedColumnFormula>
    </tableColumn>
    <tableColumn id="11" xr3:uid="{A1DBAD98-E600-4BF4-92B3-16640898E39C}" name="Season2" dataDxfId="18" totalsRowDxfId="17">
      <calculatedColumnFormula>IF(Enrolment[[#This Row],[Time]]=2,1,0)</calculatedColumnFormula>
    </tableColumn>
    <tableColumn id="10" xr3:uid="{6E372453-7D93-4F8D-8841-F4416EDFCB6D}" name="Season3" dataDxfId="16" totalsRowDxfId="15">
      <calculatedColumnFormula>IF(Enrolment[[#This Row],[Time]]=3,1,0)</calculatedColumnFormula>
    </tableColumn>
    <tableColumn id="6" xr3:uid="{CD48B0D8-1831-48FD-9D49-AE6A87B98D22}" name="Season4" dataDxfId="14" totalsRowDxfId="13">
      <calculatedColumnFormula>IF(Enrolment[[#This Row],[Season]]=4,1,0)</calculatedColumnFormula>
    </tableColumn>
    <tableColumn id="9" xr3:uid="{5DE89C14-D717-4479-833D-44EA7BABA305}" name="Combined Forecast" dataDxfId="12" totalsRowDxfId="11">
      <calculatedColumnFormula>$B$73 +$B$74*Enrolment[[#This Row],[time2]]+$B$75*Enrolment[[#This Row],[Season2]]+$B$76*Enrolment[[#This Row],[Season3]]</calculatedColumnFormula>
    </tableColumn>
    <tableColumn id="7" xr3:uid="{B2CC9A36-64B1-4876-BF92-71DCB3E14ED4}" name="Column1" dataDxfId="10" totalsRowDxfId="9"/>
    <tableColumn id="14" xr3:uid="{A2170607-43A2-428B-9438-8D1CF54F8F5A}" name="MSE Combined regression" dataDxfId="8" totalsRowDxfId="7">
      <calculatedColumnFormula>ABS((Enrolment[[#This Row],[Customers+Served]] -#REF!)/Enrolment[[#This Row],[Customers+Served]])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1C596-7485-41C3-B778-21324885B6B2}" name="Enrolment3" displayName="Enrolment3" ref="A1:K25" totalsRowShown="0">
  <autoFilter ref="A1:K25" xr:uid="{E021C596-7485-41C3-B778-21324885B6B2}"/>
  <tableColumns count="11">
    <tableColumn id="1" xr3:uid="{863ECB0E-9ECE-4E99-86B1-6DDFB06974AE}" name="t"/>
    <tableColumn id="2" xr3:uid="{52089D3B-8621-49B4-BB69-2CA8ABFAA620}" name="Day"/>
    <tableColumn id="3" xr3:uid="{47C0E439-FDBC-418B-B45F-63B8F2F313B1}" name="Time"/>
    <tableColumn id="11" xr3:uid="{D120575B-A790-447E-9B8C-8EC081A8FD49}" name="Season" dataDxfId="6"/>
    <tableColumn id="4" xr3:uid="{8366C41C-9F9F-4AB7-9755-C0ECA654074F}" name="Customers+Served"/>
    <tableColumn id="5" xr3:uid="{87B77CFA-C4B8-438C-BC42-FFF462F8E173}" name="CMA: centered moving average" dataDxfId="5">
      <calculatedColumnFormula>AVERAGE(E1:E3)</calculatedColumnFormula>
    </tableColumn>
    <tableColumn id="6" xr3:uid="{6524F884-5339-49AA-A8AE-BF3185984B67}" name="Seasonal ratio" dataDxfId="4">
      <calculatedColumnFormula>Enrolment3[[#This Row],[Customers+Served]]/Enrolment3[[#This Row],[CMA: centered moving average]]</calculatedColumnFormula>
    </tableColumn>
    <tableColumn id="7" xr3:uid="{6B18DF84-CB17-4C8F-9F88-2C68B06E3535}" name="Deseasonalised values" dataDxfId="3">
      <calculatedColumnFormula>ROUND(Enrolment3[[#This Row],[Customers+Served]]/_xlfn.XLOOKUP(Enrolment3[[#This Row],[Time]],$A$29:$A$31,$C$29:$C$31),4)</calculatedColumnFormula>
    </tableColumn>
    <tableColumn id="8" xr3:uid="{62403302-4CF2-4073-97C8-FC66FC4F2CB0}" name="Deseasonalized trend projection" dataDxfId="2">
      <calculatedColumnFormula>$B$51+$B$52*Enrolment3[[#This Row],[t]]</calculatedColumnFormula>
    </tableColumn>
    <tableColumn id="9" xr3:uid="{6ED4A1E3-E189-4B0A-BE53-77252AE9E218}" name="Final Forecast" dataDxfId="1">
      <calculatedColumnFormula>ROUND(Enrolment3[[#This Row],[Deseasonalized trend projection]]*_xlfn.XLOOKUP(Enrolment3[[#This Row],[Season]],$A$29:$A$32,$C$29:$C$32),0)</calculatedColumnFormula>
    </tableColumn>
    <tableColumn id="16" xr3:uid="{B07C8657-C3E6-44EA-AB0D-84F5D149634A}" name="MSE" dataDxfId="0">
      <calculatedColumnFormula>ABS((Enrolment3[[#This Row],[Customers+Served]] - Enrolment3[[#This Row],[Final Forecast]])/Enrolment3[[#This Row],[Customers+Served]])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0660-B9B1-4221-8C74-731E35B0CDEA}">
  <dimension ref="A1:J22"/>
  <sheetViews>
    <sheetView workbookViewId="0">
      <selection activeCell="J4" sqref="J4"/>
    </sheetView>
  </sheetViews>
  <sheetFormatPr defaultRowHeight="15"/>
  <cols>
    <col min="3" max="3" width="21" customWidth="1"/>
    <col min="4" max="4" width="22.140625" customWidth="1"/>
    <col min="5" max="5" width="17.140625" customWidth="1"/>
    <col min="6" max="6" width="16.42578125" customWidth="1"/>
  </cols>
  <sheetData>
    <row r="1" spans="1:10">
      <c r="A1" t="s">
        <v>33</v>
      </c>
      <c r="B1" t="s">
        <v>34</v>
      </c>
      <c r="C1" t="s">
        <v>79</v>
      </c>
      <c r="D1" t="s">
        <v>80</v>
      </c>
      <c r="E1" t="s">
        <v>81</v>
      </c>
      <c r="F1" t="s">
        <v>76</v>
      </c>
      <c r="G1" t="s">
        <v>82</v>
      </c>
      <c r="H1" t="s">
        <v>83</v>
      </c>
    </row>
    <row r="2" spans="1:10">
      <c r="A2">
        <v>2014</v>
      </c>
      <c r="B2">
        <v>531.29999999999995</v>
      </c>
    </row>
    <row r="3" spans="1:10" ht="20.25">
      <c r="A3">
        <v>2015</v>
      </c>
      <c r="B3">
        <v>524.29999999999995</v>
      </c>
      <c r="E3">
        <f>B2</f>
        <v>531.29999999999995</v>
      </c>
      <c r="H3">
        <f t="shared" ref="H3:H8" si="0">ABS($B$6-E3)</f>
        <v>6</v>
      </c>
      <c r="J3" s="25" t="s">
        <v>112</v>
      </c>
    </row>
    <row r="4" spans="1:10">
      <c r="A4">
        <v>2016</v>
      </c>
      <c r="B4">
        <v>530.6</v>
      </c>
      <c r="E4">
        <f>ROUND(E3+$B$22*(B3-E3),3)</f>
        <v>525.41999999999996</v>
      </c>
      <c r="H4">
        <f t="shared" si="0"/>
        <v>0.12000000000000455</v>
      </c>
    </row>
    <row r="5" spans="1:10">
      <c r="A5">
        <v>2017</v>
      </c>
      <c r="B5">
        <v>534.1</v>
      </c>
      <c r="E5">
        <f t="shared" ref="E5:E9" si="1">ROUND(E4+$B$22*(B4-E4),3)</f>
        <v>529.77099999999996</v>
      </c>
      <c r="H5">
        <f t="shared" si="0"/>
        <v>4.4710000000000036</v>
      </c>
    </row>
    <row r="6" spans="1:10">
      <c r="A6">
        <v>2018</v>
      </c>
      <c r="B6">
        <v>525.29999999999995</v>
      </c>
      <c r="C6">
        <f>ROUND(AVERAGE(B3:B6),3)</f>
        <v>528.57500000000005</v>
      </c>
      <c r="D6" s="23">
        <f>ROUND(SUMPRODUCT(B2:B5,$B$18:$B$21)/SUM($B$18:$B$21),3)</f>
        <v>530.25</v>
      </c>
      <c r="E6">
        <f t="shared" si="1"/>
        <v>533.40700000000004</v>
      </c>
      <c r="F6">
        <f>ABS($B$6-C6)</f>
        <v>3.2750000000000909</v>
      </c>
      <c r="G6">
        <f t="shared" ref="G6:H8" si="2">ABS($B$6-D6)</f>
        <v>4.9500000000000455</v>
      </c>
      <c r="H6">
        <f t="shared" si="2"/>
        <v>8.1070000000000846</v>
      </c>
    </row>
    <row r="7" spans="1:10">
      <c r="A7">
        <v>2019</v>
      </c>
      <c r="B7">
        <v>522.4</v>
      </c>
      <c r="C7">
        <f t="shared" ref="C7:C9" si="3">ROUND(AVERAGE(B4:B7),3)</f>
        <v>528.1</v>
      </c>
      <c r="D7" s="23">
        <f t="shared" ref="D7:D9" si="4">ROUND(SUMPRODUCT(B3:B6,$B$18:$B$21)/SUM($B$18:$B$21),3)</f>
        <v>529.47500000000002</v>
      </c>
      <c r="E7">
        <f t="shared" si="1"/>
        <v>526.59699999999998</v>
      </c>
      <c r="F7">
        <f t="shared" ref="F7:F8" si="5">ABS($B$6-C7)</f>
        <v>2.8000000000000682</v>
      </c>
      <c r="G7">
        <f t="shared" si="2"/>
        <v>4.1750000000000682</v>
      </c>
      <c r="H7">
        <f t="shared" si="0"/>
        <v>1.2970000000000255</v>
      </c>
    </row>
    <row r="8" spans="1:10">
      <c r="A8">
        <v>2020</v>
      </c>
      <c r="B8">
        <v>317.33999999999997</v>
      </c>
      <c r="C8">
        <f t="shared" si="3"/>
        <v>474.78500000000003</v>
      </c>
      <c r="D8" s="23">
        <f t="shared" si="4"/>
        <v>526.97500000000002</v>
      </c>
      <c r="E8">
        <f t="shared" si="1"/>
        <v>523.072</v>
      </c>
      <c r="F8">
        <f t="shared" si="5"/>
        <v>50.51499999999993</v>
      </c>
      <c r="G8">
        <f t="shared" si="2"/>
        <v>1.6750000000000682</v>
      </c>
      <c r="H8">
        <f t="shared" si="0"/>
        <v>2.2279999999999518</v>
      </c>
    </row>
    <row r="9" spans="1:10">
      <c r="A9" s="9">
        <v>2021</v>
      </c>
      <c r="B9" s="9"/>
      <c r="C9" s="9">
        <f t="shared" si="3"/>
        <v>455.01299999999998</v>
      </c>
      <c r="D9" s="24">
        <f t="shared" si="4"/>
        <v>455.74700000000001</v>
      </c>
      <c r="E9" s="9">
        <f t="shared" si="1"/>
        <v>350.25700000000001</v>
      </c>
    </row>
    <row r="10" spans="1:10">
      <c r="A10" s="9"/>
      <c r="B10" s="9"/>
      <c r="C10" s="9"/>
      <c r="D10" s="24"/>
      <c r="E10" s="9"/>
    </row>
    <row r="11" spans="1:10">
      <c r="A11" s="9"/>
      <c r="B11" s="9"/>
      <c r="C11" s="9"/>
      <c r="D11" s="24"/>
      <c r="E11" s="9"/>
    </row>
    <row r="12" spans="1:10">
      <c r="A12" s="9"/>
      <c r="B12" s="9"/>
      <c r="C12" s="9"/>
      <c r="D12" s="9"/>
      <c r="E12" s="9"/>
    </row>
    <row r="13" spans="1:10">
      <c r="A13" s="9"/>
      <c r="B13" s="9"/>
      <c r="C13" s="9"/>
      <c r="D13" s="9"/>
      <c r="E13" s="9"/>
    </row>
    <row r="14" spans="1:10" ht="15.75" thickBot="1">
      <c r="A14" s="17"/>
      <c r="B14" s="17"/>
      <c r="C14" s="17"/>
      <c r="E14" s="17"/>
      <c r="F14" s="17"/>
      <c r="G14" s="17"/>
      <c r="H14" s="17"/>
    </row>
    <row r="15" spans="1:10">
      <c r="A15" s="10"/>
      <c r="E15" t="s">
        <v>84</v>
      </c>
      <c r="F15" s="10">
        <f>ROUND(AVERAGE(F6:F8),3)</f>
        <v>18.863</v>
      </c>
      <c r="G15" s="10">
        <f t="shared" ref="G15" si="6">ROUND(AVERAGE(G6:G8),3)</f>
        <v>3.6</v>
      </c>
      <c r="H15" s="10">
        <f>ROUND(AVERAGE(H3:H8),3)</f>
        <v>3.7040000000000002</v>
      </c>
    </row>
    <row r="18" spans="1:3">
      <c r="A18" t="s">
        <v>78</v>
      </c>
      <c r="B18">
        <v>1</v>
      </c>
      <c r="C18" t="s">
        <v>108</v>
      </c>
    </row>
    <row r="19" spans="1:3">
      <c r="B19">
        <v>3</v>
      </c>
      <c r="C19" t="s">
        <v>109</v>
      </c>
    </row>
    <row r="20" spans="1:3">
      <c r="B20">
        <v>4</v>
      </c>
      <c r="C20" t="s">
        <v>110</v>
      </c>
    </row>
    <row r="21" spans="1:3">
      <c r="B21">
        <v>4</v>
      </c>
      <c r="C21" t="s">
        <v>111</v>
      </c>
    </row>
    <row r="22" spans="1:3">
      <c r="A22" t="s">
        <v>30</v>
      </c>
      <c r="B22"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2D9-076E-4679-B85A-7A340B976E5E}">
  <dimension ref="A1:M79"/>
  <sheetViews>
    <sheetView workbookViewId="0">
      <selection activeCell="D31" sqref="D31"/>
    </sheetView>
  </sheetViews>
  <sheetFormatPr defaultRowHeight="15"/>
  <cols>
    <col min="2" max="2" width="9.5703125" customWidth="1"/>
    <col min="3" max="3" width="20.28515625" customWidth="1"/>
    <col min="4" max="4" width="10" customWidth="1"/>
    <col min="5" max="5" width="17.42578125" customWidth="1"/>
    <col min="6" max="6" width="9.140625" customWidth="1"/>
    <col min="7" max="7" width="16.5703125" customWidth="1"/>
    <col min="8" max="9" width="16.140625" customWidth="1"/>
    <col min="10" max="11" width="16.7109375" customWidth="1"/>
    <col min="12" max="12" width="14.7109375" customWidth="1"/>
  </cols>
  <sheetData>
    <row r="1" spans="1:12" ht="30">
      <c r="A1" t="s">
        <v>7</v>
      </c>
      <c r="B1" t="s">
        <v>85</v>
      </c>
      <c r="C1" t="s">
        <v>39</v>
      </c>
      <c r="D1" t="s">
        <v>97</v>
      </c>
      <c r="E1" t="s">
        <v>86</v>
      </c>
      <c r="F1" s="15" t="s">
        <v>71</v>
      </c>
      <c r="G1" s="15" t="s">
        <v>98</v>
      </c>
      <c r="H1" s="15" t="s">
        <v>99</v>
      </c>
      <c r="I1" s="15" t="s">
        <v>100</v>
      </c>
      <c r="J1" s="15" t="s">
        <v>72</v>
      </c>
      <c r="K1" s="15" t="s">
        <v>96</v>
      </c>
      <c r="L1" s="15" t="s">
        <v>102</v>
      </c>
    </row>
    <row r="2" spans="1:12">
      <c r="A2">
        <v>1</v>
      </c>
      <c r="B2" t="s">
        <v>87</v>
      </c>
      <c r="C2" t="s">
        <v>88</v>
      </c>
      <c r="D2">
        <v>1</v>
      </c>
      <c r="E2">
        <v>18</v>
      </c>
      <c r="F2">
        <f>Enrolment[[#This Row],[t]]</f>
        <v>1</v>
      </c>
      <c r="G2">
        <f>IF(Enrolment[[#This Row],[Season]]=2,1,0)</f>
        <v>0</v>
      </c>
      <c r="H2">
        <f>IF(Enrolment[[#This Row],[Season]]=3,1,0)</f>
        <v>0</v>
      </c>
      <c r="I2">
        <f>IF(Enrolment[[#This Row],[Season]]=4,1,0)</f>
        <v>0</v>
      </c>
      <c r="J2">
        <f>ROUND($B$73 +$B$74*Enrolment[[#This Row],[time2]]+$B$75*Enrolment[[#This Row],[Season2]]+$B$76*Enrolment[[#This Row],[Season3]]++$B$77*Enrolment[[#This Row],[Season4]],1)</f>
        <v>13.9</v>
      </c>
      <c r="L2">
        <f>(Enrolment[[#This Row],[Customers+Served]] - Enrolment[[#This Row],[Combined Forecast]])^2</f>
        <v>16.809999999999999</v>
      </c>
    </row>
    <row r="3" spans="1:12">
      <c r="A3">
        <v>2</v>
      </c>
      <c r="B3" t="s">
        <v>87</v>
      </c>
      <c r="C3" t="s">
        <v>89</v>
      </c>
      <c r="D3">
        <v>2</v>
      </c>
      <c r="E3">
        <v>52</v>
      </c>
      <c r="F3">
        <f>Enrolment[[#This Row],[t]]</f>
        <v>2</v>
      </c>
      <c r="G3">
        <f>IF(Enrolment[[#This Row],[Season]]=2,1,0)</f>
        <v>1</v>
      </c>
      <c r="H3">
        <f>IF(Enrolment[[#This Row],[Season]]=3,1,0)</f>
        <v>0</v>
      </c>
      <c r="I3">
        <f>IF(Enrolment[[#This Row],[Season]]=4,1,0)</f>
        <v>0</v>
      </c>
      <c r="J3">
        <f>ROUND($B$73 +$B$74*Enrolment[[#This Row],[time2]]+$B$75*Enrolment[[#This Row],[Season2]]+$B$76*Enrolment[[#This Row],[Season3]]++$B$77*Enrolment[[#This Row],[Season4]],1)</f>
        <v>50.7</v>
      </c>
      <c r="L3">
        <f>(Enrolment[[#This Row],[Customers+Served]] - Enrolment[[#This Row],[Combined Forecast]])^2</f>
        <v>1.6899999999999926</v>
      </c>
    </row>
    <row r="4" spans="1:12">
      <c r="A4">
        <v>3</v>
      </c>
      <c r="B4" t="s">
        <v>87</v>
      </c>
      <c r="C4" t="s">
        <v>90</v>
      </c>
      <c r="D4">
        <v>3</v>
      </c>
      <c r="E4">
        <v>42</v>
      </c>
      <c r="F4">
        <f>Enrolment[[#This Row],[t]]</f>
        <v>3</v>
      </c>
      <c r="G4">
        <f>IF(Enrolment[[#This Row],[Season]]=2,1,0)</f>
        <v>0</v>
      </c>
      <c r="H4">
        <f>IF(Enrolment[[#This Row],[Season]]=3,1,0)</f>
        <v>1</v>
      </c>
      <c r="I4">
        <f>IF(Enrolment[[#This Row],[Season]]=4,1,0)</f>
        <v>0</v>
      </c>
      <c r="J4">
        <f>ROUND($B$73 +$B$74*Enrolment[[#This Row],[time2]]+$B$75*Enrolment[[#This Row],[Season2]]+$B$76*Enrolment[[#This Row],[Season3]]++$B$77*Enrolment[[#This Row],[Season4]],1)</f>
        <v>44.3</v>
      </c>
      <c r="L4">
        <f>(Enrolment[[#This Row],[Customers+Served]] - Enrolment[[#This Row],[Combined Forecast]])^2</f>
        <v>5.2899999999999867</v>
      </c>
    </row>
    <row r="5" spans="1:12">
      <c r="A5">
        <v>4</v>
      </c>
      <c r="B5" t="s">
        <v>87</v>
      </c>
      <c r="C5" t="s">
        <v>91</v>
      </c>
      <c r="D5">
        <v>4</v>
      </c>
      <c r="E5">
        <v>13</v>
      </c>
      <c r="F5">
        <f>Enrolment[[#This Row],[t]]</f>
        <v>4</v>
      </c>
      <c r="G5">
        <f>IF(Enrolment[[#This Row],[Season]]=2,1,0)</f>
        <v>0</v>
      </c>
      <c r="H5">
        <f>IF(Enrolment[[#This Row],[Season]]=3,1,0)</f>
        <v>0</v>
      </c>
      <c r="I5">
        <f>IF(Enrolment[[#This Row],[Season]]=4,1,0)</f>
        <v>1</v>
      </c>
      <c r="J5">
        <f>ROUND($B$73 +$B$74*Enrolment[[#This Row],[time2]]+$B$75*Enrolment[[#This Row],[Season2]]+$B$76*Enrolment[[#This Row],[Season3]]++$B$77*Enrolment[[#This Row],[Season4]],1)</f>
        <v>9.5</v>
      </c>
      <c r="L5">
        <f>(Enrolment[[#This Row],[Customers+Served]] - Enrolment[[#This Row],[Combined Forecast]])^2</f>
        <v>12.25</v>
      </c>
    </row>
    <row r="6" spans="1:12">
      <c r="A6">
        <v>5</v>
      </c>
      <c r="B6" t="s">
        <v>92</v>
      </c>
      <c r="C6" t="s">
        <v>88</v>
      </c>
      <c r="D6">
        <v>1</v>
      </c>
      <c r="E6">
        <v>16</v>
      </c>
      <c r="F6">
        <f>Enrolment[[#This Row],[t]]</f>
        <v>5</v>
      </c>
      <c r="G6">
        <f>IF(Enrolment[[#This Row],[Season]]=2,1,0)</f>
        <v>0</v>
      </c>
      <c r="H6">
        <f>IF(Enrolment[[#This Row],[Season]]=3,1,0)</f>
        <v>0</v>
      </c>
      <c r="I6">
        <f>IF(Enrolment[[#This Row],[Season]]=4,1,0)</f>
        <v>0</v>
      </c>
      <c r="J6">
        <f>ROUND($B$73 +$B$74*Enrolment[[#This Row],[time2]]+$B$75*Enrolment[[#This Row],[Season2]]+$B$76*Enrolment[[#This Row],[Season3]]++$B$77*Enrolment[[#This Row],[Season4]],1)</f>
        <v>18.3</v>
      </c>
      <c r="L6">
        <f>(Enrolment[[#This Row],[Customers+Served]] - Enrolment[[#This Row],[Combined Forecast]])^2</f>
        <v>5.2900000000000036</v>
      </c>
    </row>
    <row r="7" spans="1:12">
      <c r="A7">
        <v>6</v>
      </c>
      <c r="B7" t="s">
        <v>92</v>
      </c>
      <c r="C7" t="s">
        <v>89</v>
      </c>
      <c r="D7">
        <v>2</v>
      </c>
      <c r="E7">
        <v>42</v>
      </c>
      <c r="F7">
        <f>Enrolment[[#This Row],[t]]</f>
        <v>6</v>
      </c>
      <c r="G7">
        <f>IF(Enrolment[[#This Row],[Season]]=2,1,0)</f>
        <v>1</v>
      </c>
      <c r="H7">
        <f>IF(Enrolment[[#This Row],[Season]]=3,1,0)</f>
        <v>0</v>
      </c>
      <c r="I7">
        <f>IF(Enrolment[[#This Row],[Season]]=4,1,0)</f>
        <v>0</v>
      </c>
      <c r="J7">
        <f>ROUND($B$73 +$B$74*Enrolment[[#This Row],[time2]]+$B$75*Enrolment[[#This Row],[Season2]]+$B$76*Enrolment[[#This Row],[Season3]]++$B$77*Enrolment[[#This Row],[Season4]],1)</f>
        <v>55.1</v>
      </c>
      <c r="L7">
        <f>(Enrolment[[#This Row],[Customers+Served]] - Enrolment[[#This Row],[Combined Forecast]])^2</f>
        <v>171.61000000000004</v>
      </c>
    </row>
    <row r="8" spans="1:12">
      <c r="A8">
        <v>7</v>
      </c>
      <c r="B8" t="s">
        <v>92</v>
      </c>
      <c r="C8" t="s">
        <v>90</v>
      </c>
      <c r="D8">
        <v>3</v>
      </c>
      <c r="E8">
        <v>50</v>
      </c>
      <c r="F8">
        <f>Enrolment[[#This Row],[t]]</f>
        <v>7</v>
      </c>
      <c r="G8">
        <f>IF(Enrolment[[#This Row],[Season]]=2,1,0)</f>
        <v>0</v>
      </c>
      <c r="H8">
        <f>IF(Enrolment[[#This Row],[Season]]=3,1,0)</f>
        <v>1</v>
      </c>
      <c r="I8">
        <f>IF(Enrolment[[#This Row],[Season]]=4,1,0)</f>
        <v>0</v>
      </c>
      <c r="J8">
        <f>ROUND($B$73 +$B$74*Enrolment[[#This Row],[time2]]+$B$75*Enrolment[[#This Row],[Season2]]+$B$76*Enrolment[[#This Row],[Season3]]++$B$77*Enrolment[[#This Row],[Season4]],1)</f>
        <v>48.7</v>
      </c>
      <c r="L8">
        <f>(Enrolment[[#This Row],[Customers+Served]] - Enrolment[[#This Row],[Combined Forecast]])^2</f>
        <v>1.6899999999999926</v>
      </c>
    </row>
    <row r="9" spans="1:12">
      <c r="A9">
        <v>8</v>
      </c>
      <c r="B9" t="s">
        <v>92</v>
      </c>
      <c r="C9" t="s">
        <v>91</v>
      </c>
      <c r="D9">
        <v>4</v>
      </c>
      <c r="E9">
        <v>16</v>
      </c>
      <c r="F9">
        <f>Enrolment[[#This Row],[t]]</f>
        <v>8</v>
      </c>
      <c r="G9">
        <f>IF(Enrolment[[#This Row],[Season]]=2,1,0)</f>
        <v>0</v>
      </c>
      <c r="H9">
        <f>IF(Enrolment[[#This Row],[Season]]=3,1,0)</f>
        <v>0</v>
      </c>
      <c r="I9">
        <f>IF(Enrolment[[#This Row],[Season]]=4,1,0)</f>
        <v>1</v>
      </c>
      <c r="J9">
        <f>ROUND($B$73 +$B$74*Enrolment[[#This Row],[time2]]+$B$75*Enrolment[[#This Row],[Season2]]+$B$76*Enrolment[[#This Row],[Season3]]++$B$77*Enrolment[[#This Row],[Season4]],1)</f>
        <v>13.9</v>
      </c>
      <c r="L9">
        <f>(Enrolment[[#This Row],[Customers+Served]] - Enrolment[[#This Row],[Combined Forecast]])^2</f>
        <v>4.4099999999999984</v>
      </c>
    </row>
    <row r="10" spans="1:12">
      <c r="A10">
        <v>9</v>
      </c>
      <c r="B10" t="s">
        <v>93</v>
      </c>
      <c r="C10" t="s">
        <v>88</v>
      </c>
      <c r="D10">
        <v>1</v>
      </c>
      <c r="E10">
        <v>22</v>
      </c>
      <c r="F10">
        <f>Enrolment[[#This Row],[t]]</f>
        <v>9</v>
      </c>
      <c r="G10">
        <f>IF(Enrolment[[#This Row],[Season]]=2,1,0)</f>
        <v>0</v>
      </c>
      <c r="H10">
        <f>IF(Enrolment[[#This Row],[Season]]=3,1,0)</f>
        <v>0</v>
      </c>
      <c r="I10">
        <f>IF(Enrolment[[#This Row],[Season]]=4,1,0)</f>
        <v>0</v>
      </c>
      <c r="J10">
        <f>ROUND($B$73 +$B$74*Enrolment[[#This Row],[time2]]+$B$75*Enrolment[[#This Row],[Season2]]+$B$76*Enrolment[[#This Row],[Season3]]++$B$77*Enrolment[[#This Row],[Season4]],1)</f>
        <v>22.7</v>
      </c>
      <c r="L10">
        <f>(Enrolment[[#This Row],[Customers+Served]] - Enrolment[[#This Row],[Combined Forecast]])^2</f>
        <v>0.48999999999999899</v>
      </c>
    </row>
    <row r="11" spans="1:12">
      <c r="A11">
        <v>10</v>
      </c>
      <c r="B11" t="s">
        <v>93</v>
      </c>
      <c r="C11" t="s">
        <v>89</v>
      </c>
      <c r="D11">
        <v>2</v>
      </c>
      <c r="E11">
        <v>54</v>
      </c>
      <c r="F11">
        <f>Enrolment[[#This Row],[t]]</f>
        <v>10</v>
      </c>
      <c r="G11">
        <f>IF(Enrolment[[#This Row],[Season]]=2,1,0)</f>
        <v>1</v>
      </c>
      <c r="H11">
        <f>IF(Enrolment[[#This Row],[Season]]=3,1,0)</f>
        <v>0</v>
      </c>
      <c r="I11">
        <f>IF(Enrolment[[#This Row],[Season]]=4,1,0)</f>
        <v>0</v>
      </c>
      <c r="J11">
        <f>ROUND($B$73 +$B$74*Enrolment[[#This Row],[time2]]+$B$75*Enrolment[[#This Row],[Season2]]+$B$76*Enrolment[[#This Row],[Season3]]++$B$77*Enrolment[[#This Row],[Season4]],1)</f>
        <v>59.5</v>
      </c>
      <c r="L11">
        <f>(Enrolment[[#This Row],[Customers+Served]] - Enrolment[[#This Row],[Combined Forecast]])^2</f>
        <v>30.25</v>
      </c>
    </row>
    <row r="12" spans="1:12">
      <c r="A12">
        <v>11</v>
      </c>
      <c r="B12" t="s">
        <v>93</v>
      </c>
      <c r="C12" t="s">
        <v>90</v>
      </c>
      <c r="D12">
        <v>3</v>
      </c>
      <c r="E12">
        <v>61</v>
      </c>
      <c r="F12">
        <f>Enrolment[[#This Row],[t]]</f>
        <v>11</v>
      </c>
      <c r="G12">
        <f>IF(Enrolment[[#This Row],[Season]]=2,1,0)</f>
        <v>0</v>
      </c>
      <c r="H12">
        <f>IF(Enrolment[[#This Row],[Season]]=3,1,0)</f>
        <v>1</v>
      </c>
      <c r="I12">
        <f>IF(Enrolment[[#This Row],[Season]]=4,1,0)</f>
        <v>0</v>
      </c>
      <c r="J12">
        <f>ROUND($B$73 +$B$74*Enrolment[[#This Row],[time2]]+$B$75*Enrolment[[#This Row],[Season2]]+$B$76*Enrolment[[#This Row],[Season3]]++$B$77*Enrolment[[#This Row],[Season4]],1)</f>
        <v>53.1</v>
      </c>
      <c r="L12">
        <f>(Enrolment[[#This Row],[Customers+Served]] - Enrolment[[#This Row],[Combined Forecast]])^2</f>
        <v>62.409999999999975</v>
      </c>
    </row>
    <row r="13" spans="1:12">
      <c r="A13">
        <v>12</v>
      </c>
      <c r="B13" t="s">
        <v>93</v>
      </c>
      <c r="C13" t="s">
        <v>91</v>
      </c>
      <c r="D13">
        <v>4</v>
      </c>
      <c r="E13">
        <v>23</v>
      </c>
      <c r="F13">
        <f>Enrolment[[#This Row],[t]]</f>
        <v>12</v>
      </c>
      <c r="G13">
        <f>IF(Enrolment[[#This Row],[Season]]=2,1,0)</f>
        <v>0</v>
      </c>
      <c r="H13">
        <f>IF(Enrolment[[#This Row],[Season]]=3,1,0)</f>
        <v>0</v>
      </c>
      <c r="I13">
        <f>IF(Enrolment[[#This Row],[Season]]=4,1,0)</f>
        <v>1</v>
      </c>
      <c r="J13">
        <f>ROUND($B$73 +$B$74*Enrolment[[#This Row],[time2]]+$B$75*Enrolment[[#This Row],[Season2]]+$B$76*Enrolment[[#This Row],[Season3]]++$B$77*Enrolment[[#This Row],[Season4]],1)</f>
        <v>18.3</v>
      </c>
      <c r="L13">
        <f>(Enrolment[[#This Row],[Customers+Served]] - Enrolment[[#This Row],[Combined Forecast]])^2</f>
        <v>22.089999999999993</v>
      </c>
    </row>
    <row r="14" spans="1:12">
      <c r="A14">
        <v>13</v>
      </c>
      <c r="B14" t="s">
        <v>94</v>
      </c>
      <c r="C14" t="s">
        <v>88</v>
      </c>
      <c r="D14">
        <v>1</v>
      </c>
      <c r="E14">
        <v>30</v>
      </c>
      <c r="F14">
        <f>Enrolment[[#This Row],[t]]</f>
        <v>13</v>
      </c>
      <c r="G14">
        <f>IF(Enrolment[[#This Row],[Season]]=2,1,0)</f>
        <v>0</v>
      </c>
      <c r="H14">
        <f>IF(Enrolment[[#This Row],[Season]]=3,1,0)</f>
        <v>0</v>
      </c>
      <c r="I14">
        <f>IF(Enrolment[[#This Row],[Season]]=4,1,0)</f>
        <v>0</v>
      </c>
      <c r="J14">
        <f>ROUND($B$73 +$B$74*Enrolment[[#This Row],[time2]]+$B$75*Enrolment[[#This Row],[Season2]]+$B$76*Enrolment[[#This Row],[Season3]]++$B$77*Enrolment[[#This Row],[Season4]],1)</f>
        <v>27.1</v>
      </c>
      <c r="L14">
        <f>(Enrolment[[#This Row],[Customers+Served]] - Enrolment[[#This Row],[Combined Forecast]])^2</f>
        <v>8.4099999999999913</v>
      </c>
    </row>
    <row r="15" spans="1:12">
      <c r="A15">
        <v>14</v>
      </c>
      <c r="B15" t="s">
        <v>94</v>
      </c>
      <c r="C15" t="s">
        <v>89</v>
      </c>
      <c r="D15">
        <v>2</v>
      </c>
      <c r="E15">
        <v>72</v>
      </c>
      <c r="F15">
        <f>Enrolment[[#This Row],[t]]</f>
        <v>14</v>
      </c>
      <c r="G15">
        <f>IF(Enrolment[[#This Row],[Season]]=2,1,0)</f>
        <v>1</v>
      </c>
      <c r="H15">
        <f>IF(Enrolment[[#This Row],[Season]]=3,1,0)</f>
        <v>0</v>
      </c>
      <c r="I15">
        <f>IF(Enrolment[[#This Row],[Season]]=4,1,0)</f>
        <v>0</v>
      </c>
      <c r="J15">
        <f>ROUND($B$73 +$B$74*Enrolment[[#This Row],[time2]]+$B$75*Enrolment[[#This Row],[Season2]]+$B$76*Enrolment[[#This Row],[Season3]]++$B$77*Enrolment[[#This Row],[Season4]],1)</f>
        <v>63.9</v>
      </c>
      <c r="L15">
        <f>(Enrolment[[#This Row],[Customers+Served]] - Enrolment[[#This Row],[Combined Forecast]])^2</f>
        <v>65.610000000000028</v>
      </c>
    </row>
    <row r="16" spans="1:12">
      <c r="A16">
        <v>15</v>
      </c>
      <c r="B16" t="s">
        <v>94</v>
      </c>
      <c r="C16" t="s">
        <v>90</v>
      </c>
      <c r="D16">
        <v>3</v>
      </c>
      <c r="E16">
        <v>48</v>
      </c>
      <c r="F16">
        <f>Enrolment[[#This Row],[t]]</f>
        <v>15</v>
      </c>
      <c r="G16">
        <f>IF(Enrolment[[#This Row],[Season]]=2,1,0)</f>
        <v>0</v>
      </c>
      <c r="H16">
        <f>IF(Enrolment[[#This Row],[Season]]=3,1,0)</f>
        <v>1</v>
      </c>
      <c r="I16">
        <f>IF(Enrolment[[#This Row],[Season]]=4,1,0)</f>
        <v>0</v>
      </c>
      <c r="J16">
        <f>ROUND($B$73 +$B$74*Enrolment[[#This Row],[time2]]+$B$75*Enrolment[[#This Row],[Season2]]+$B$76*Enrolment[[#This Row],[Season3]]++$B$77*Enrolment[[#This Row],[Season4]],1)</f>
        <v>57.5</v>
      </c>
      <c r="L16">
        <f>(Enrolment[[#This Row],[Customers+Served]] - Enrolment[[#This Row],[Combined Forecast]])^2</f>
        <v>90.25</v>
      </c>
    </row>
    <row r="17" spans="1:12">
      <c r="A17">
        <v>16</v>
      </c>
      <c r="B17" t="s">
        <v>94</v>
      </c>
      <c r="C17" t="s">
        <v>91</v>
      </c>
      <c r="D17">
        <v>4</v>
      </c>
      <c r="E17">
        <v>15</v>
      </c>
      <c r="F17">
        <f>Enrolment[[#This Row],[t]]</f>
        <v>16</v>
      </c>
      <c r="G17">
        <f>IF(Enrolment[[#This Row],[Season]]=2,1,0)</f>
        <v>0</v>
      </c>
      <c r="H17">
        <f>IF(Enrolment[[#This Row],[Season]]=3,1,0)</f>
        <v>0</v>
      </c>
      <c r="I17">
        <f>IF(Enrolment[[#This Row],[Season]]=4,1,0)</f>
        <v>1</v>
      </c>
      <c r="J17">
        <f>ROUND($B$73 +$B$74*Enrolment[[#This Row],[time2]]+$B$75*Enrolment[[#This Row],[Season2]]+$B$76*Enrolment[[#This Row],[Season3]]++$B$77*Enrolment[[#This Row],[Season4]],1)</f>
        <v>22.7</v>
      </c>
      <c r="L17">
        <f>(Enrolment[[#This Row],[Customers+Served]] - Enrolment[[#This Row],[Combined Forecast]])^2</f>
        <v>59.289999999999992</v>
      </c>
    </row>
    <row r="18" spans="1:12">
      <c r="A18">
        <v>17</v>
      </c>
      <c r="B18" t="s">
        <v>95</v>
      </c>
      <c r="C18" t="s">
        <v>88</v>
      </c>
      <c r="D18">
        <v>1</v>
      </c>
      <c r="E18">
        <v>27</v>
      </c>
      <c r="F18">
        <f>Enrolment[[#This Row],[t]]</f>
        <v>17</v>
      </c>
      <c r="G18">
        <f>IF(Enrolment[[#This Row],[Season]]=2,1,0)</f>
        <v>0</v>
      </c>
      <c r="H18">
        <f>IF(Enrolment[[#This Row],[Season]]=3,1,0)</f>
        <v>0</v>
      </c>
      <c r="I18">
        <f>IF(Enrolment[[#This Row],[Season]]=4,1,0)</f>
        <v>0</v>
      </c>
      <c r="J18">
        <f>ROUND($B$73 +$B$74*Enrolment[[#This Row],[time2]]+$B$75*Enrolment[[#This Row],[Season2]]+$B$76*Enrolment[[#This Row],[Season3]]++$B$77*Enrolment[[#This Row],[Season4]],1)</f>
        <v>31.5</v>
      </c>
      <c r="L18">
        <f>(Enrolment[[#This Row],[Customers+Served]] - Enrolment[[#This Row],[Combined Forecast]])^2</f>
        <v>20.25</v>
      </c>
    </row>
    <row r="19" spans="1:12">
      <c r="A19">
        <v>18</v>
      </c>
      <c r="B19" t="s">
        <v>95</v>
      </c>
      <c r="C19" t="s">
        <v>89</v>
      </c>
      <c r="D19">
        <v>2</v>
      </c>
      <c r="E19">
        <v>77</v>
      </c>
      <c r="F19">
        <f>Enrolment[[#This Row],[t]]</f>
        <v>18</v>
      </c>
      <c r="G19">
        <f>IF(Enrolment[[#This Row],[Season]]=2,1,0)</f>
        <v>1</v>
      </c>
      <c r="H19">
        <f>IF(Enrolment[[#This Row],[Season]]=3,1,0)</f>
        <v>0</v>
      </c>
      <c r="I19">
        <f>IF(Enrolment[[#This Row],[Season]]=4,1,0)</f>
        <v>0</v>
      </c>
      <c r="J19">
        <f>ROUND($B$73 +$B$74*Enrolment[[#This Row],[time2]]+$B$75*Enrolment[[#This Row],[Season2]]+$B$76*Enrolment[[#This Row],[Season3]]++$B$77*Enrolment[[#This Row],[Season4]],1)</f>
        <v>68.3</v>
      </c>
      <c r="L19">
        <f>(Enrolment[[#This Row],[Customers+Served]] - Enrolment[[#This Row],[Combined Forecast]])^2</f>
        <v>75.690000000000055</v>
      </c>
    </row>
    <row r="20" spans="1:12">
      <c r="A20">
        <v>19</v>
      </c>
      <c r="B20" t="s">
        <v>95</v>
      </c>
      <c r="C20" t="s">
        <v>90</v>
      </c>
      <c r="D20">
        <v>3</v>
      </c>
      <c r="E20">
        <v>64</v>
      </c>
      <c r="F20">
        <f>Enrolment[[#This Row],[t]]</f>
        <v>19</v>
      </c>
      <c r="G20">
        <f>IF(Enrolment[[#This Row],[Season]]=2,1,0)</f>
        <v>0</v>
      </c>
      <c r="H20">
        <f>IF(Enrolment[[#This Row],[Season]]=3,1,0)</f>
        <v>1</v>
      </c>
      <c r="I20">
        <f>IF(Enrolment[[#This Row],[Season]]=4,1,0)</f>
        <v>0</v>
      </c>
      <c r="J20">
        <f>ROUND($B$73 +$B$74*Enrolment[[#This Row],[time2]]+$B$75*Enrolment[[#This Row],[Season2]]+$B$76*Enrolment[[#This Row],[Season3]]++$B$77*Enrolment[[#This Row],[Season4]],1)</f>
        <v>61.9</v>
      </c>
      <c r="L20">
        <f>(Enrolment[[#This Row],[Customers+Served]] - Enrolment[[#This Row],[Combined Forecast]])^2</f>
        <v>4.4100000000000064</v>
      </c>
    </row>
    <row r="21" spans="1:12">
      <c r="A21">
        <v>20</v>
      </c>
      <c r="B21" t="s">
        <v>95</v>
      </c>
      <c r="C21" t="s">
        <v>91</v>
      </c>
      <c r="D21">
        <v>4</v>
      </c>
      <c r="E21">
        <v>24</v>
      </c>
      <c r="F21">
        <f>Enrolment[[#This Row],[t]]</f>
        <v>20</v>
      </c>
      <c r="G21">
        <f>IF(Enrolment[[#This Row],[Season]]=2,1,0)</f>
        <v>0</v>
      </c>
      <c r="H21">
        <f>IF(Enrolment[[#This Row],[Season]]=3,1,0)</f>
        <v>0</v>
      </c>
      <c r="I21">
        <f>IF(Enrolment[[#This Row],[Season]]=4,1,0)</f>
        <v>1</v>
      </c>
      <c r="J21">
        <f>ROUND($B$73 +$B$74*Enrolment[[#This Row],[time2]]+$B$75*Enrolment[[#This Row],[Season2]]+$B$76*Enrolment[[#This Row],[Season3]]++$B$77*Enrolment[[#This Row],[Season4]],1)</f>
        <v>27.1</v>
      </c>
      <c r="L21">
        <f>(Enrolment[[#This Row],[Customers+Served]] - Enrolment[[#This Row],[Combined Forecast]])^2</f>
        <v>9.6100000000000083</v>
      </c>
    </row>
    <row r="22" spans="1:12">
      <c r="A22" s="9">
        <v>21</v>
      </c>
      <c r="B22" s="9" t="s">
        <v>87</v>
      </c>
      <c r="C22" s="9" t="s">
        <v>88</v>
      </c>
      <c r="D22" s="9">
        <v>1</v>
      </c>
      <c r="E22" s="9"/>
      <c r="F22" s="9">
        <f>Enrolment[[#This Row],[t]]</f>
        <v>21</v>
      </c>
      <c r="G22" s="9">
        <f>IF(Enrolment[[#This Row],[Season]]=2,1,0)</f>
        <v>0</v>
      </c>
      <c r="H22" s="9">
        <f>IF(Enrolment[[#This Row],[Season]]=3,1,0)</f>
        <v>0</v>
      </c>
      <c r="I22" s="9">
        <f>IF(Enrolment[[#This Row],[Season]]=4,1,0)</f>
        <v>0</v>
      </c>
      <c r="J22" s="9">
        <f>ROUND($B$73 +$B$74*Enrolment[[#This Row],[time2]]+$B$75*Enrolment[[#This Row],[Season2]]+$B$76*Enrolment[[#This Row],[Season3]]++$B$77*Enrolment[[#This Row],[Season4]],1)</f>
        <v>35.9</v>
      </c>
      <c r="K22" s="9"/>
      <c r="L22" s="9"/>
    </row>
    <row r="23" spans="1:12">
      <c r="A23" s="9">
        <v>22</v>
      </c>
      <c r="B23" s="9" t="s">
        <v>87</v>
      </c>
      <c r="C23" s="9" t="s">
        <v>89</v>
      </c>
      <c r="D23" s="9">
        <v>2</v>
      </c>
      <c r="E23" s="9"/>
      <c r="F23" s="9">
        <f>Enrolment[[#This Row],[t]]</f>
        <v>22</v>
      </c>
      <c r="G23" s="9">
        <f>IF(Enrolment[[#This Row],[Season]]=2,1,0)</f>
        <v>1</v>
      </c>
      <c r="H23" s="9">
        <f>IF(Enrolment[[#This Row],[Season]]=3,1,0)</f>
        <v>0</v>
      </c>
      <c r="I23" s="9">
        <f>IF(Enrolment[[#This Row],[Season]]=4,1,0)</f>
        <v>0</v>
      </c>
      <c r="J23" s="9">
        <f>ROUND($B$73 +$B$74*Enrolment[[#This Row],[time2]]+$B$75*Enrolment[[#This Row],[Season2]]+$B$76*Enrolment[[#This Row],[Season3]]++$B$77*Enrolment[[#This Row],[Season4]],1)</f>
        <v>72.7</v>
      </c>
      <c r="K23" s="9"/>
      <c r="L23" s="9"/>
    </row>
    <row r="24" spans="1:12">
      <c r="A24" s="9">
        <v>23</v>
      </c>
      <c r="B24" s="9" t="s">
        <v>87</v>
      </c>
      <c r="C24" s="9" t="s">
        <v>90</v>
      </c>
      <c r="D24" s="9">
        <v>3</v>
      </c>
      <c r="E24" s="9"/>
      <c r="F24" s="9">
        <f>Enrolment[[#This Row],[t]]</f>
        <v>23</v>
      </c>
      <c r="G24" s="9">
        <f>IF(Enrolment[[#This Row],[Season]]=2,1,0)</f>
        <v>0</v>
      </c>
      <c r="H24" s="9">
        <f>IF(Enrolment[[#This Row],[Season]]=3,1,0)</f>
        <v>1</v>
      </c>
      <c r="I24" s="9">
        <f>IF(Enrolment[[#This Row],[Season]]=4,1,0)</f>
        <v>0</v>
      </c>
      <c r="J24" s="9">
        <f>ROUND($B$73 +$B$74*Enrolment[[#This Row],[time2]]+$B$75*Enrolment[[#This Row],[Season2]]+$B$76*Enrolment[[#This Row],[Season3]]++$B$77*Enrolment[[#This Row],[Season4]],1)</f>
        <v>66.3</v>
      </c>
      <c r="K24" s="9"/>
      <c r="L24" s="9"/>
    </row>
    <row r="25" spans="1:12">
      <c r="A25" s="9">
        <v>24</v>
      </c>
      <c r="B25" s="9" t="s">
        <v>87</v>
      </c>
      <c r="C25" s="9" t="s">
        <v>91</v>
      </c>
      <c r="D25" s="9">
        <v>4</v>
      </c>
      <c r="E25" s="9"/>
      <c r="F25" s="9">
        <f>Enrolment[[#This Row],[t]]</f>
        <v>24</v>
      </c>
      <c r="G25" s="9">
        <f>IF(Enrolment[[#This Row],[Season]]=2,1,0)</f>
        <v>0</v>
      </c>
      <c r="H25" s="9">
        <f>IF(Enrolment[[#This Row],[Season]]=3,1,0)</f>
        <v>0</v>
      </c>
      <c r="I25" s="9">
        <f>IF(Enrolment[[#This Row],[Season]]=4,1,0)</f>
        <v>1</v>
      </c>
      <c r="J25" s="9">
        <f>ROUND($B$73 +$B$74*Enrolment[[#This Row],[time2]]+$B$75*Enrolment[[#This Row],[Season2]]+$B$76*Enrolment[[#This Row],[Season3]]++$B$77*Enrolment[[#This Row],[Season4]],1)</f>
        <v>31.5</v>
      </c>
      <c r="K25" s="9"/>
      <c r="L25" s="9"/>
    </row>
    <row r="26" spans="1:1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>
      <c r="K28" t="s">
        <v>77</v>
      </c>
      <c r="L28" s="26">
        <f>AVERAGE(L2:L21)</f>
        <v>33.39</v>
      </c>
    </row>
    <row r="34" spans="1:13">
      <c r="J34" s="10" t="s">
        <v>73</v>
      </c>
      <c r="K34" s="10"/>
      <c r="L34" s="10"/>
    </row>
    <row r="35" spans="1:13">
      <c r="G35" s="10"/>
      <c r="L35">
        <f>AVERAGE(L2:L26)*100</f>
        <v>3339</v>
      </c>
      <c r="M35" t="s">
        <v>75</v>
      </c>
    </row>
    <row r="36" spans="1:13">
      <c r="A36" t="s">
        <v>74</v>
      </c>
    </row>
    <row r="37" spans="1:13" ht="15.75" thickBot="1"/>
    <row r="38" spans="1:13">
      <c r="A38" s="19" t="s">
        <v>48</v>
      </c>
      <c r="B38" s="19"/>
    </row>
    <row r="39" spans="1:13">
      <c r="A39" t="s">
        <v>49</v>
      </c>
      <c r="B39">
        <v>0.58610863629483212</v>
      </c>
    </row>
    <row r="40" spans="1:13">
      <c r="A40" t="s">
        <v>50</v>
      </c>
      <c r="B40">
        <v>0.3435233335393878</v>
      </c>
    </row>
    <row r="41" spans="1:13">
      <c r="A41" t="s">
        <v>51</v>
      </c>
      <c r="B41">
        <v>0.3200777383086516</v>
      </c>
    </row>
    <row r="42" spans="1:13">
      <c r="A42" t="s">
        <v>52</v>
      </c>
      <c r="B42">
        <v>7589.2504701321022</v>
      </c>
    </row>
    <row r="43" spans="1:13" ht="15.75" thickBot="1">
      <c r="A43" s="17" t="s">
        <v>53</v>
      </c>
      <c r="B43" s="17">
        <v>30</v>
      </c>
    </row>
    <row r="45" spans="1:13" ht="15.75" thickBot="1">
      <c r="A45" t="s">
        <v>54</v>
      </c>
    </row>
    <row r="46" spans="1:13">
      <c r="A46" s="18"/>
      <c r="B46" s="18" t="s">
        <v>55</v>
      </c>
      <c r="C46" s="18" t="s">
        <v>56</v>
      </c>
      <c r="D46" s="18"/>
      <c r="E46" s="18" t="s">
        <v>57</v>
      </c>
      <c r="F46" s="18" t="s">
        <v>59</v>
      </c>
    </row>
    <row r="47" spans="1:13">
      <c r="A47" t="s">
        <v>60</v>
      </c>
      <c r="B47">
        <v>1</v>
      </c>
      <c r="C47">
        <v>843903427.81145787</v>
      </c>
      <c r="E47">
        <v>843903427.81145787</v>
      </c>
      <c r="F47">
        <v>6.6552327277720924E-4</v>
      </c>
    </row>
    <row r="48" spans="1:13">
      <c r="A48" t="s">
        <v>61</v>
      </c>
      <c r="B48">
        <v>28</v>
      </c>
      <c r="C48">
        <v>1612708235.5552094</v>
      </c>
      <c r="E48">
        <v>57596722.698400334</v>
      </c>
    </row>
    <row r="49" spans="1:11" ht="15.75" thickBot="1">
      <c r="A49" s="17" t="s">
        <v>62</v>
      </c>
      <c r="B49" s="17">
        <v>29</v>
      </c>
      <c r="C49" s="17">
        <v>2456611663.3666673</v>
      </c>
      <c r="D49" s="17"/>
      <c r="E49" s="17"/>
      <c r="F49" s="17"/>
    </row>
    <row r="50" spans="1:11" ht="15.75" thickBot="1"/>
    <row r="51" spans="1:11">
      <c r="A51" s="18"/>
      <c r="B51" s="18" t="s">
        <v>63</v>
      </c>
      <c r="C51" s="18" t="s">
        <v>52</v>
      </c>
      <c r="D51" s="18"/>
      <c r="E51" s="18" t="s">
        <v>64</v>
      </c>
      <c r="F51" s="18" t="s">
        <v>66</v>
      </c>
      <c r="G51" s="18" t="s">
        <v>67</v>
      </c>
      <c r="H51" s="18" t="s">
        <v>68</v>
      </c>
      <c r="I51" s="18"/>
      <c r="J51" s="18" t="s">
        <v>69</v>
      </c>
      <c r="K51" s="27"/>
    </row>
    <row r="52" spans="1:11">
      <c r="A52" t="s">
        <v>70</v>
      </c>
      <c r="B52">
        <v>35823</v>
      </c>
      <c r="C52">
        <v>2841.9679455763967</v>
      </c>
      <c r="E52">
        <v>12.605110341230233</v>
      </c>
      <c r="F52">
        <v>30001.812103758031</v>
      </c>
      <c r="G52">
        <v>41644.826976701734</v>
      </c>
      <c r="H52">
        <v>30001.812103758031</v>
      </c>
      <c r="J52">
        <v>31499.483309618732</v>
      </c>
    </row>
    <row r="53" spans="1:11" ht="15.75" thickBot="1">
      <c r="A53" s="17" t="s">
        <v>39</v>
      </c>
      <c r="B53" s="17">
        <v>613</v>
      </c>
      <c r="C53" s="17">
        <v>160.08440862816357</v>
      </c>
      <c r="D53" s="17"/>
      <c r="E53" s="17">
        <v>3.8277845860456994</v>
      </c>
      <c r="F53" s="17">
        <v>284.85058588912716</v>
      </c>
      <c r="G53" s="17">
        <v>940.68667773712423</v>
      </c>
      <c r="H53" s="17">
        <v>284.85058588912716</v>
      </c>
      <c r="I53" s="17"/>
      <c r="J53" s="17">
        <v>245.5500389096583</v>
      </c>
    </row>
    <row r="55" spans="1:11">
      <c r="A55" s="20"/>
      <c r="B55" s="20"/>
      <c r="C55" s="20"/>
      <c r="D55" s="20"/>
      <c r="E55" s="20"/>
      <c r="F55" s="20"/>
      <c r="G55" s="20"/>
      <c r="H55" s="20"/>
      <c r="I55" s="20"/>
    </row>
    <row r="56" spans="1:11">
      <c r="A56" s="20"/>
      <c r="B56" s="20"/>
      <c r="C56" s="20"/>
      <c r="D56" s="20"/>
      <c r="E56" s="20"/>
      <c r="F56" s="20"/>
      <c r="G56" s="20"/>
      <c r="H56" s="20"/>
      <c r="I56" s="20"/>
    </row>
    <row r="57" spans="1:11">
      <c r="A57" t="s">
        <v>101</v>
      </c>
      <c r="I57" s="9"/>
    </row>
    <row r="58" spans="1:11" ht="15.75" thickBot="1">
      <c r="I58" s="9"/>
    </row>
    <row r="59" spans="1:11">
      <c r="A59" s="19" t="s">
        <v>48</v>
      </c>
      <c r="B59" s="19"/>
      <c r="I59" s="9"/>
    </row>
    <row r="60" spans="1:11">
      <c r="A60" t="s">
        <v>49</v>
      </c>
      <c r="B60">
        <v>0.95732527643051946</v>
      </c>
      <c r="I60" s="9"/>
    </row>
    <row r="61" spans="1:11">
      <c r="A61" t="s">
        <v>50</v>
      </c>
      <c r="B61">
        <v>0.91647168489277042</v>
      </c>
      <c r="I61" s="9"/>
    </row>
    <row r="62" spans="1:11">
      <c r="A62" t="s">
        <v>51</v>
      </c>
      <c r="B62">
        <v>0.8941974675308425</v>
      </c>
      <c r="I62" s="9"/>
    </row>
    <row r="63" spans="1:11">
      <c r="A63" t="s">
        <v>52</v>
      </c>
      <c r="B63">
        <v>6.6712067873811254</v>
      </c>
      <c r="I63" s="9"/>
    </row>
    <row r="64" spans="1:11" ht="15.75" thickBot="1">
      <c r="A64" s="17" t="s">
        <v>53</v>
      </c>
      <c r="B64" s="17">
        <v>20</v>
      </c>
      <c r="I64" s="9"/>
    </row>
    <row r="65" spans="1:9">
      <c r="I65" s="9"/>
    </row>
    <row r="66" spans="1:9" ht="15.75" thickBot="1">
      <c r="A66" t="s">
        <v>54</v>
      </c>
      <c r="I66" s="9"/>
    </row>
    <row r="67" spans="1:9">
      <c r="A67" s="18"/>
      <c r="B67" s="18" t="s">
        <v>55</v>
      </c>
      <c r="C67" s="18" t="s">
        <v>56</v>
      </c>
      <c r="D67" s="18" t="s">
        <v>57</v>
      </c>
      <c r="E67" s="18" t="s">
        <v>58</v>
      </c>
      <c r="I67" s="9"/>
    </row>
    <row r="68" spans="1:9">
      <c r="A68" t="s">
        <v>60</v>
      </c>
      <c r="B68">
        <v>4</v>
      </c>
      <c r="C68">
        <v>7324.625</v>
      </c>
      <c r="D68">
        <v>1831.15625</v>
      </c>
      <c r="E68">
        <v>41.144955622963714</v>
      </c>
      <c r="I68" s="9"/>
    </row>
    <row r="69" spans="1:9">
      <c r="A69" t="s">
        <v>61</v>
      </c>
      <c r="B69">
        <v>15</v>
      </c>
      <c r="C69">
        <v>667.57499999999993</v>
      </c>
      <c r="D69">
        <v>44.504999999999995</v>
      </c>
      <c r="I69" s="9"/>
    </row>
    <row r="70" spans="1:9" ht="15.75" thickBot="1">
      <c r="A70" s="17" t="s">
        <v>62</v>
      </c>
      <c r="B70" s="17">
        <v>19</v>
      </c>
      <c r="C70" s="17">
        <v>7992.2</v>
      </c>
      <c r="D70" s="17"/>
      <c r="E70" s="17"/>
      <c r="I70" s="9"/>
    </row>
    <row r="71" spans="1:9" ht="15.75" thickBot="1">
      <c r="I71" s="9"/>
    </row>
    <row r="72" spans="1:9">
      <c r="A72" s="18"/>
      <c r="B72" s="18" t="s">
        <v>63</v>
      </c>
      <c r="C72" s="18" t="s">
        <v>52</v>
      </c>
      <c r="D72" s="18" t="s">
        <v>64</v>
      </c>
      <c r="E72" s="18" t="s">
        <v>65</v>
      </c>
      <c r="F72" s="18" t="s">
        <v>67</v>
      </c>
      <c r="G72" s="18" t="s">
        <v>68</v>
      </c>
      <c r="H72" s="18" t="s">
        <v>69</v>
      </c>
      <c r="I72" s="22"/>
    </row>
    <row r="73" spans="1:9">
      <c r="A73" t="s">
        <v>70</v>
      </c>
      <c r="B73">
        <v>12.8</v>
      </c>
      <c r="C73">
        <v>3.8123042982558464</v>
      </c>
      <c r="D73">
        <v>3.3460733986623414</v>
      </c>
      <c r="E73">
        <v>4.4208069571139551E-3</v>
      </c>
      <c r="F73">
        <v>20.881984264052988</v>
      </c>
      <c r="G73">
        <v>4.6305157359469948</v>
      </c>
      <c r="H73">
        <v>20.881984264052988</v>
      </c>
      <c r="I73" s="9"/>
    </row>
    <row r="74" spans="1:9">
      <c r="A74" t="s">
        <v>71</v>
      </c>
      <c r="B74">
        <v>1.1000000000000001</v>
      </c>
      <c r="C74">
        <v>0.26370260237623744</v>
      </c>
      <c r="D74">
        <v>4.1476647941437204</v>
      </c>
      <c r="E74">
        <v>8.5917045093531635E-4</v>
      </c>
      <c r="F74">
        <v>1.6558187919977614</v>
      </c>
      <c r="G74">
        <v>0.53168120800223906</v>
      </c>
      <c r="H74">
        <v>1.6558187919977614</v>
      </c>
      <c r="I74" s="9"/>
    </row>
    <row r="75" spans="1:9">
      <c r="A75" t="s">
        <v>98</v>
      </c>
      <c r="B75">
        <v>35.700000000000003</v>
      </c>
      <c r="C75">
        <v>4.2274743124589174</v>
      </c>
      <c r="D75">
        <v>8.4462370107771054</v>
      </c>
      <c r="E75">
        <v>4.3853414317550463E-7</v>
      </c>
      <c r="F75">
        <v>44.71689820215618</v>
      </c>
      <c r="G75">
        <v>26.695601797843828</v>
      </c>
      <c r="H75">
        <v>44.71689820215618</v>
      </c>
      <c r="I75" s="9"/>
    </row>
    <row r="76" spans="1:9" ht="15.75" thickBot="1">
      <c r="A76" t="s">
        <v>99</v>
      </c>
      <c r="B76">
        <v>28.2</v>
      </c>
      <c r="C76">
        <v>4.2520766985086249</v>
      </c>
      <c r="D76">
        <v>6.6349932045899527</v>
      </c>
      <c r="E76">
        <v>7.9432658575232046E-6</v>
      </c>
      <c r="F76">
        <v>37.275586946721518</v>
      </c>
      <c r="G76">
        <v>19.149413053278494</v>
      </c>
      <c r="H76">
        <v>37.275586946721518</v>
      </c>
      <c r="I76" s="21"/>
    </row>
    <row r="77" spans="1:9" ht="15.75" thickBot="1">
      <c r="A77" s="17" t="s">
        <v>100</v>
      </c>
      <c r="B77" s="17">
        <v>-7.7</v>
      </c>
      <c r="C77" s="17">
        <v>4.2927673548073848</v>
      </c>
      <c r="D77" s="17">
        <v>-1.789346909610166</v>
      </c>
      <c r="E77" s="17">
        <v>9.3765584541939728E-2</v>
      </c>
      <c r="F77" s="17">
        <v>1.4685670275980334</v>
      </c>
      <c r="G77" s="17">
        <v>-16.831067027598035</v>
      </c>
      <c r="H77" s="17">
        <v>1.4685670275980334</v>
      </c>
      <c r="I77" s="9"/>
    </row>
    <row r="78" spans="1:9">
      <c r="I78" s="9"/>
    </row>
    <row r="79" spans="1:9">
      <c r="I79" s="9"/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B65F-AAA2-40DF-8C0E-345E3BE1591B}">
  <dimension ref="A1:K52"/>
  <sheetViews>
    <sheetView workbookViewId="0">
      <selection activeCell="D33" sqref="D33"/>
    </sheetView>
  </sheetViews>
  <sheetFormatPr defaultRowHeight="15"/>
  <cols>
    <col min="1" max="1" width="15.5703125" customWidth="1"/>
    <col min="3" max="4" width="17.7109375" customWidth="1"/>
    <col min="5" max="5" width="20.140625" customWidth="1"/>
    <col min="6" max="6" width="18" customWidth="1"/>
    <col min="7" max="7" width="14.7109375" customWidth="1"/>
    <col min="8" max="8" width="25.42578125" customWidth="1"/>
    <col min="9" max="9" width="17.5703125" customWidth="1"/>
    <col min="10" max="10" width="21.140625" customWidth="1"/>
    <col min="11" max="11" width="14.5703125" customWidth="1"/>
  </cols>
  <sheetData>
    <row r="1" spans="1:11" ht="51" customHeight="1">
      <c r="A1" t="s">
        <v>7</v>
      </c>
      <c r="B1" t="s">
        <v>85</v>
      </c>
      <c r="C1" t="s">
        <v>39</v>
      </c>
      <c r="D1" t="s">
        <v>97</v>
      </c>
      <c r="E1" t="s">
        <v>86</v>
      </c>
      <c r="F1" s="15" t="s">
        <v>40</v>
      </c>
      <c r="G1" s="15" t="s">
        <v>41</v>
      </c>
      <c r="H1" s="15" t="s">
        <v>42</v>
      </c>
      <c r="I1" s="15" t="s">
        <v>43</v>
      </c>
      <c r="J1" s="16" t="s">
        <v>44</v>
      </c>
      <c r="K1" s="15" t="s">
        <v>77</v>
      </c>
    </row>
    <row r="2" spans="1:11">
      <c r="A2">
        <v>1</v>
      </c>
      <c r="B2" t="s">
        <v>87</v>
      </c>
      <c r="C2" t="s">
        <v>88</v>
      </c>
      <c r="D2">
        <v>1</v>
      </c>
      <c r="E2">
        <v>18</v>
      </c>
      <c r="F2" t="s">
        <v>28</v>
      </c>
      <c r="H2">
        <f>ROUND(Enrolment3[[#This Row],[Customers+Served]]/_xlfn.XLOOKUP(Enrolment3[[#This Row],[Season]],$A$29:$A$32,$C$29:$C$32),1)</f>
        <v>26.2</v>
      </c>
      <c r="I2">
        <f>$B$51+$B$52*Enrolment3[[#This Row],[t]]</f>
        <v>24.7</v>
      </c>
      <c r="J2" s="14">
        <f>ROUND(Enrolment3[[#This Row],[Deseasonalized trend projection]]*_xlfn.XLOOKUP(Enrolment3[[#This Row],[Season]],$A$29:$A$32,$C$29:$C$32),1)</f>
        <v>17</v>
      </c>
      <c r="K2">
        <f>(Enrolment3[[#This Row],[Final Forecast]]-Enrolment3[[#This Row],[Customers+Served]])^2</f>
        <v>1</v>
      </c>
    </row>
    <row r="3" spans="1:11">
      <c r="A3">
        <v>2</v>
      </c>
      <c r="B3" t="s">
        <v>87</v>
      </c>
      <c r="C3" t="s">
        <v>89</v>
      </c>
      <c r="D3">
        <v>2</v>
      </c>
      <c r="E3">
        <v>52</v>
      </c>
      <c r="H3">
        <f>ROUND(Enrolment3[[#This Row],[Customers+Served]]/_xlfn.XLOOKUP(Enrolment3[[#This Row],[Season]],$A$29:$A$32,$C$29:$C$32),1)</f>
        <v>30.1</v>
      </c>
      <c r="I3">
        <f>$B$51+$B$52*Enrolment3[[#This Row],[t]]</f>
        <v>25.7</v>
      </c>
      <c r="J3" s="14">
        <f>ROUND(Enrolment3[[#This Row],[Deseasonalized trend projection]]*_xlfn.XLOOKUP(Enrolment3[[#This Row],[Season]],$A$29:$A$32,$C$29:$C$32),1)</f>
        <v>44.4</v>
      </c>
      <c r="K3">
        <f>(Enrolment3[[#This Row],[Final Forecast]]-Enrolment3[[#This Row],[Customers+Served]])^2</f>
        <v>57.760000000000019</v>
      </c>
    </row>
    <row r="4" spans="1:11">
      <c r="A4">
        <v>3</v>
      </c>
      <c r="B4" t="s">
        <v>87</v>
      </c>
      <c r="C4" t="s">
        <v>90</v>
      </c>
      <c r="D4">
        <v>3</v>
      </c>
      <c r="E4">
        <v>42</v>
      </c>
      <c r="F4">
        <f>(0.5*E2+SUM(E3:E5)+0.5*E6)/4</f>
        <v>31</v>
      </c>
      <c r="G4">
        <f>ROUND(Enrolment3[[#This Row],[Customers+Served]]/Enrolment3[[#This Row],[CMA: centered moving average]],4)</f>
        <v>1.3548</v>
      </c>
      <c r="H4">
        <f>ROUND(Enrolment3[[#This Row],[Customers+Served]]/_xlfn.XLOOKUP(Enrolment3[[#This Row],[Season]],$A$29:$A$32,$C$29:$C$32),1)</f>
        <v>26.5</v>
      </c>
      <c r="I4">
        <f>$B$51+$B$52*Enrolment3[[#This Row],[t]]</f>
        <v>26.7</v>
      </c>
      <c r="J4" s="14">
        <f>ROUND(Enrolment3[[#This Row],[Deseasonalized trend projection]]*_xlfn.XLOOKUP(Enrolment3[[#This Row],[Season]],$A$29:$A$32,$C$29:$C$32),1)</f>
        <v>42.3</v>
      </c>
      <c r="K4">
        <f>(Enrolment3[[#This Row],[Final Forecast]]-Enrolment3[[#This Row],[Customers+Served]])^2</f>
        <v>8.999999999999829E-2</v>
      </c>
    </row>
    <row r="5" spans="1:11">
      <c r="A5">
        <v>4</v>
      </c>
      <c r="B5" t="s">
        <v>87</v>
      </c>
      <c r="C5" t="s">
        <v>91</v>
      </c>
      <c r="D5">
        <v>4</v>
      </c>
      <c r="E5">
        <v>13</v>
      </c>
      <c r="F5">
        <f t="shared" ref="F5:F19" si="0">(0.5*E3+SUM(E4:E6)+0.5*E7)/4</f>
        <v>29.5</v>
      </c>
      <c r="G5">
        <f>ROUND(Enrolment3[[#This Row],[Customers+Served]]/Enrolment3[[#This Row],[CMA: centered moving average]],4)</f>
        <v>0.44069999999999998</v>
      </c>
      <c r="H5">
        <f>ROUND(Enrolment3[[#This Row],[Customers+Served]]/_xlfn.XLOOKUP(Enrolment3[[#This Row],[Season]],$A$29:$A$32,$C$29:$C$32),1)</f>
        <v>25.6</v>
      </c>
      <c r="I5">
        <f>$B$51+$B$52*Enrolment3[[#This Row],[t]]</f>
        <v>27.7</v>
      </c>
      <c r="J5" s="14">
        <f>ROUND(Enrolment3[[#This Row],[Deseasonalized trend projection]]*_xlfn.XLOOKUP(Enrolment3[[#This Row],[Season]],$A$29:$A$32,$C$29:$C$32),1)</f>
        <v>14.1</v>
      </c>
      <c r="K5">
        <f>(Enrolment3[[#This Row],[Final Forecast]]-Enrolment3[[#This Row],[Customers+Served]])^2</f>
        <v>1.2099999999999993</v>
      </c>
    </row>
    <row r="6" spans="1:11">
      <c r="A6">
        <v>5</v>
      </c>
      <c r="B6" t="s">
        <v>92</v>
      </c>
      <c r="C6" t="s">
        <v>88</v>
      </c>
      <c r="D6">
        <v>1</v>
      </c>
      <c r="E6">
        <v>16</v>
      </c>
      <c r="F6">
        <f t="shared" si="0"/>
        <v>29.25</v>
      </c>
      <c r="G6">
        <f>ROUND(Enrolment3[[#This Row],[Customers+Served]]/Enrolment3[[#This Row],[CMA: centered moving average]],4)</f>
        <v>0.54700000000000004</v>
      </c>
      <c r="H6">
        <f>ROUND(Enrolment3[[#This Row],[Customers+Served]]/_xlfn.XLOOKUP(Enrolment3[[#This Row],[Season]],$A$29:$A$32,$C$29:$C$32),1)</f>
        <v>23.2</v>
      </c>
      <c r="I6">
        <f>$B$51+$B$52*Enrolment3[[#This Row],[t]]</f>
        <v>28.7</v>
      </c>
      <c r="J6" s="14">
        <f>ROUND(Enrolment3[[#This Row],[Deseasonalized trend projection]]*_xlfn.XLOOKUP(Enrolment3[[#This Row],[Season]],$A$29:$A$32,$C$29:$C$32),1)</f>
        <v>19.8</v>
      </c>
      <c r="K6">
        <f>(Enrolment3[[#This Row],[Final Forecast]]-Enrolment3[[#This Row],[Customers+Served]])^2</f>
        <v>14.440000000000005</v>
      </c>
    </row>
    <row r="7" spans="1:11">
      <c r="A7">
        <v>6</v>
      </c>
      <c r="B7" t="s">
        <v>92</v>
      </c>
      <c r="C7" t="s">
        <v>89</v>
      </c>
      <c r="D7">
        <v>2</v>
      </c>
      <c r="E7">
        <v>42</v>
      </c>
      <c r="F7">
        <f t="shared" si="0"/>
        <v>30.625</v>
      </c>
      <c r="G7">
        <f>ROUND(Enrolment3[[#This Row],[Customers+Served]]/Enrolment3[[#This Row],[CMA: centered moving average]],4)</f>
        <v>1.3714</v>
      </c>
      <c r="H7">
        <f>ROUND(Enrolment3[[#This Row],[Customers+Served]]/_xlfn.XLOOKUP(Enrolment3[[#This Row],[Season]],$A$29:$A$32,$C$29:$C$32),1)</f>
        <v>24.3</v>
      </c>
      <c r="I7">
        <f>$B$51+$B$52*Enrolment3[[#This Row],[t]]</f>
        <v>29.7</v>
      </c>
      <c r="J7" s="14">
        <f>ROUND(Enrolment3[[#This Row],[Deseasonalized trend projection]]*_xlfn.XLOOKUP(Enrolment3[[#This Row],[Season]],$A$29:$A$32,$C$29:$C$32),1)</f>
        <v>51.3</v>
      </c>
      <c r="K7">
        <f>(Enrolment3[[#This Row],[Final Forecast]]-Enrolment3[[#This Row],[Customers+Served]])^2</f>
        <v>86.489999999999952</v>
      </c>
    </row>
    <row r="8" spans="1:11">
      <c r="A8">
        <v>7</v>
      </c>
      <c r="B8" t="s">
        <v>92</v>
      </c>
      <c r="C8" t="s">
        <v>90</v>
      </c>
      <c r="D8">
        <v>3</v>
      </c>
      <c r="E8">
        <v>50</v>
      </c>
      <c r="F8">
        <f t="shared" si="0"/>
        <v>31.75</v>
      </c>
      <c r="G8">
        <f>ROUND(Enrolment3[[#This Row],[Customers+Served]]/Enrolment3[[#This Row],[CMA: centered moving average]],4)</f>
        <v>1.5748</v>
      </c>
      <c r="H8">
        <f>ROUND(Enrolment3[[#This Row],[Customers+Served]]/_xlfn.XLOOKUP(Enrolment3[[#This Row],[Season]],$A$29:$A$32,$C$29:$C$32),1)</f>
        <v>31.6</v>
      </c>
      <c r="I8">
        <f>$B$51+$B$52*Enrolment3[[#This Row],[t]]</f>
        <v>30.7</v>
      </c>
      <c r="J8" s="14">
        <f>ROUND(Enrolment3[[#This Row],[Deseasonalized trend projection]]*_xlfn.XLOOKUP(Enrolment3[[#This Row],[Season]],$A$29:$A$32,$C$29:$C$32),1)</f>
        <v>48.6</v>
      </c>
      <c r="K8">
        <f>(Enrolment3[[#This Row],[Final Forecast]]-Enrolment3[[#This Row],[Customers+Served]])^2</f>
        <v>1.959999999999996</v>
      </c>
    </row>
    <row r="9" spans="1:11">
      <c r="A9">
        <v>8</v>
      </c>
      <c r="B9" t="s">
        <v>92</v>
      </c>
      <c r="C9" t="s">
        <v>91</v>
      </c>
      <c r="D9">
        <v>4</v>
      </c>
      <c r="E9">
        <v>16</v>
      </c>
      <c r="F9">
        <f t="shared" si="0"/>
        <v>34</v>
      </c>
      <c r="G9">
        <f>ROUND(Enrolment3[[#This Row],[Customers+Served]]/Enrolment3[[#This Row],[CMA: centered moving average]],4)</f>
        <v>0.47060000000000002</v>
      </c>
      <c r="H9">
        <f>ROUND(Enrolment3[[#This Row],[Customers+Served]]/_xlfn.XLOOKUP(Enrolment3[[#This Row],[Season]],$A$29:$A$32,$C$29:$C$32),1)</f>
        <v>31.4</v>
      </c>
      <c r="I9">
        <f>$B$51+$B$52*Enrolment3[[#This Row],[t]]</f>
        <v>31.7</v>
      </c>
      <c r="J9" s="14">
        <f>ROUND(Enrolment3[[#This Row],[Deseasonalized trend projection]]*_xlfn.XLOOKUP(Enrolment3[[#This Row],[Season]],$A$29:$A$32,$C$29:$C$32),1)</f>
        <v>16.100000000000001</v>
      </c>
      <c r="K9">
        <f>(Enrolment3[[#This Row],[Final Forecast]]-Enrolment3[[#This Row],[Customers+Served]])^2</f>
        <v>1.0000000000000285E-2</v>
      </c>
    </row>
    <row r="10" spans="1:11">
      <c r="A10">
        <v>9</v>
      </c>
      <c r="B10" t="s">
        <v>93</v>
      </c>
      <c r="C10" t="s">
        <v>88</v>
      </c>
      <c r="D10">
        <v>1</v>
      </c>
      <c r="E10">
        <v>22</v>
      </c>
      <c r="F10">
        <f t="shared" si="0"/>
        <v>36.875</v>
      </c>
      <c r="G10">
        <f>ROUND(Enrolment3[[#This Row],[Customers+Served]]/Enrolment3[[#This Row],[CMA: centered moving average]],4)</f>
        <v>0.59660000000000002</v>
      </c>
      <c r="H10">
        <f>ROUND(Enrolment3[[#This Row],[Customers+Served]]/_xlfn.XLOOKUP(Enrolment3[[#This Row],[Season]],$A$29:$A$32,$C$29:$C$32),1)</f>
        <v>32</v>
      </c>
      <c r="I10">
        <f>$B$51+$B$52*Enrolment3[[#This Row],[t]]</f>
        <v>32.700000000000003</v>
      </c>
      <c r="J10" s="14">
        <f>ROUND(Enrolment3[[#This Row],[Deseasonalized trend projection]]*_xlfn.XLOOKUP(Enrolment3[[#This Row],[Season]],$A$29:$A$32,$C$29:$C$32),1)</f>
        <v>22.5</v>
      </c>
      <c r="K10">
        <f>(Enrolment3[[#This Row],[Final Forecast]]-Enrolment3[[#This Row],[Customers+Served]])^2</f>
        <v>0.25</v>
      </c>
    </row>
    <row r="11" spans="1:11">
      <c r="A11">
        <v>10</v>
      </c>
      <c r="B11" t="s">
        <v>93</v>
      </c>
      <c r="C11" t="s">
        <v>89</v>
      </c>
      <c r="D11">
        <v>2</v>
      </c>
      <c r="E11">
        <v>54</v>
      </c>
      <c r="F11">
        <f t="shared" si="0"/>
        <v>39.125</v>
      </c>
      <c r="G11">
        <f>ROUND(Enrolment3[[#This Row],[Customers+Served]]/Enrolment3[[#This Row],[CMA: centered moving average]],4)</f>
        <v>1.3802000000000001</v>
      </c>
      <c r="H11">
        <f>ROUND(Enrolment3[[#This Row],[Customers+Served]]/_xlfn.XLOOKUP(Enrolment3[[#This Row],[Season]],$A$29:$A$32,$C$29:$C$32),1)</f>
        <v>31.3</v>
      </c>
      <c r="I11">
        <f>$B$51+$B$52*Enrolment3[[#This Row],[t]]</f>
        <v>33.700000000000003</v>
      </c>
      <c r="J11" s="14">
        <f>ROUND(Enrolment3[[#This Row],[Deseasonalized trend projection]]*_xlfn.XLOOKUP(Enrolment3[[#This Row],[Season]],$A$29:$A$32,$C$29:$C$32),1)</f>
        <v>58.2</v>
      </c>
      <c r="K11">
        <f>(Enrolment3[[#This Row],[Final Forecast]]-Enrolment3[[#This Row],[Customers+Served]])^2</f>
        <v>17.640000000000025</v>
      </c>
    </row>
    <row r="12" spans="1:11">
      <c r="A12">
        <v>11</v>
      </c>
      <c r="B12" t="s">
        <v>93</v>
      </c>
      <c r="C12" t="s">
        <v>90</v>
      </c>
      <c r="D12">
        <v>3</v>
      </c>
      <c r="E12">
        <v>61</v>
      </c>
      <c r="F12">
        <f t="shared" si="0"/>
        <v>41</v>
      </c>
      <c r="G12">
        <f>ROUND(Enrolment3[[#This Row],[Customers+Served]]/Enrolment3[[#This Row],[CMA: centered moving average]],4)</f>
        <v>1.4878</v>
      </c>
      <c r="H12">
        <f>ROUND(Enrolment3[[#This Row],[Customers+Served]]/_xlfn.XLOOKUP(Enrolment3[[#This Row],[Season]],$A$29:$A$32,$C$29:$C$32),1)</f>
        <v>38.5</v>
      </c>
      <c r="I12">
        <f>$B$51+$B$52*Enrolment3[[#This Row],[t]]</f>
        <v>34.700000000000003</v>
      </c>
      <c r="J12" s="14">
        <f>ROUND(Enrolment3[[#This Row],[Deseasonalized trend projection]]*_xlfn.XLOOKUP(Enrolment3[[#This Row],[Season]],$A$29:$A$32,$C$29:$C$32),1)</f>
        <v>55</v>
      </c>
      <c r="K12">
        <f>(Enrolment3[[#This Row],[Final Forecast]]-Enrolment3[[#This Row],[Customers+Served]])^2</f>
        <v>36</v>
      </c>
    </row>
    <row r="13" spans="1:11">
      <c r="A13">
        <v>12</v>
      </c>
      <c r="B13" t="s">
        <v>93</v>
      </c>
      <c r="C13" t="s">
        <v>91</v>
      </c>
      <c r="D13">
        <v>4</v>
      </c>
      <c r="E13">
        <v>23</v>
      </c>
      <c r="F13">
        <f t="shared" si="0"/>
        <v>44.25</v>
      </c>
      <c r="G13">
        <f>ROUND(Enrolment3[[#This Row],[Customers+Served]]/Enrolment3[[#This Row],[CMA: centered moving average]],4)</f>
        <v>0.51980000000000004</v>
      </c>
      <c r="H13">
        <f>ROUND(Enrolment3[[#This Row],[Customers+Served]]/_xlfn.XLOOKUP(Enrolment3[[#This Row],[Season]],$A$29:$A$32,$C$29:$C$32),1)</f>
        <v>45.2</v>
      </c>
      <c r="I13">
        <f>$B$51+$B$52*Enrolment3[[#This Row],[t]]</f>
        <v>35.700000000000003</v>
      </c>
      <c r="J13" s="14">
        <f>ROUND(Enrolment3[[#This Row],[Deseasonalized trend projection]]*_xlfn.XLOOKUP(Enrolment3[[#This Row],[Season]],$A$29:$A$32,$C$29:$C$32),1)</f>
        <v>18.2</v>
      </c>
      <c r="K13">
        <f>(Enrolment3[[#This Row],[Final Forecast]]-Enrolment3[[#This Row],[Customers+Served]])^2</f>
        <v>23.040000000000006</v>
      </c>
    </row>
    <row r="14" spans="1:11">
      <c r="A14">
        <v>13</v>
      </c>
      <c r="B14" t="s">
        <v>94</v>
      </c>
      <c r="C14" t="s">
        <v>88</v>
      </c>
      <c r="D14">
        <v>1</v>
      </c>
      <c r="E14">
        <v>30</v>
      </c>
      <c r="F14">
        <f t="shared" si="0"/>
        <v>44.875</v>
      </c>
      <c r="G14">
        <f>ROUND(Enrolment3[[#This Row],[Customers+Served]]/Enrolment3[[#This Row],[CMA: centered moving average]],4)</f>
        <v>0.66849999999999998</v>
      </c>
      <c r="H14">
        <f>ROUND(Enrolment3[[#This Row],[Customers+Served]]/_xlfn.XLOOKUP(Enrolment3[[#This Row],[Season]],$A$29:$A$32,$C$29:$C$32),1)</f>
        <v>43.6</v>
      </c>
      <c r="I14">
        <f>$B$51+$B$52*Enrolment3[[#This Row],[t]]</f>
        <v>36.700000000000003</v>
      </c>
      <c r="J14" s="14">
        <f>ROUND(Enrolment3[[#This Row],[Deseasonalized trend projection]]*_xlfn.XLOOKUP(Enrolment3[[#This Row],[Season]],$A$29:$A$32,$C$29:$C$32),1)</f>
        <v>25.3</v>
      </c>
      <c r="K14">
        <f>(Enrolment3[[#This Row],[Final Forecast]]-Enrolment3[[#This Row],[Customers+Served]])^2</f>
        <v>22.089999999999993</v>
      </c>
    </row>
    <row r="15" spans="1:11">
      <c r="A15">
        <v>14</v>
      </c>
      <c r="B15" t="s">
        <v>94</v>
      </c>
      <c r="C15" t="s">
        <v>89</v>
      </c>
      <c r="D15">
        <v>2</v>
      </c>
      <c r="E15">
        <v>72</v>
      </c>
      <c r="F15">
        <f t="shared" si="0"/>
        <v>42.25</v>
      </c>
      <c r="G15">
        <f>ROUND(Enrolment3[[#This Row],[Customers+Served]]/Enrolment3[[#This Row],[CMA: centered moving average]],4)</f>
        <v>1.7040999999999999</v>
      </c>
      <c r="H15">
        <f>ROUND(Enrolment3[[#This Row],[Customers+Served]]/_xlfn.XLOOKUP(Enrolment3[[#This Row],[Season]],$A$29:$A$32,$C$29:$C$32),1)</f>
        <v>41.7</v>
      </c>
      <c r="I15">
        <f>$B$51+$B$52*Enrolment3[[#This Row],[t]]</f>
        <v>37.700000000000003</v>
      </c>
      <c r="J15" s="14">
        <f>ROUND(Enrolment3[[#This Row],[Deseasonalized trend projection]]*_xlfn.XLOOKUP(Enrolment3[[#This Row],[Season]],$A$29:$A$32,$C$29:$C$32),1)</f>
        <v>65.099999999999994</v>
      </c>
      <c r="K15">
        <f>(Enrolment3[[#This Row],[Final Forecast]]-Enrolment3[[#This Row],[Customers+Served]])^2</f>
        <v>47.610000000000078</v>
      </c>
    </row>
    <row r="16" spans="1:11">
      <c r="A16">
        <v>15</v>
      </c>
      <c r="B16" t="s">
        <v>94</v>
      </c>
      <c r="C16" t="s">
        <v>90</v>
      </c>
      <c r="D16">
        <v>3</v>
      </c>
      <c r="E16">
        <v>48</v>
      </c>
      <c r="F16">
        <f t="shared" si="0"/>
        <v>40.875</v>
      </c>
      <c r="G16">
        <f>ROUND(Enrolment3[[#This Row],[Customers+Served]]/Enrolment3[[#This Row],[CMA: centered moving average]],4)</f>
        <v>1.1742999999999999</v>
      </c>
      <c r="H16">
        <f>ROUND(Enrolment3[[#This Row],[Customers+Served]]/_xlfn.XLOOKUP(Enrolment3[[#This Row],[Season]],$A$29:$A$32,$C$29:$C$32),1)</f>
        <v>30.3</v>
      </c>
      <c r="I16">
        <f>$B$51+$B$52*Enrolment3[[#This Row],[t]]</f>
        <v>38.700000000000003</v>
      </c>
      <c r="J16" s="14">
        <f>ROUND(Enrolment3[[#This Row],[Deseasonalized trend projection]]*_xlfn.XLOOKUP(Enrolment3[[#This Row],[Season]],$A$29:$A$32,$C$29:$C$32),1)</f>
        <v>61.3</v>
      </c>
      <c r="K16">
        <f>(Enrolment3[[#This Row],[Final Forecast]]-Enrolment3[[#This Row],[Customers+Served]])^2</f>
        <v>176.88999999999993</v>
      </c>
    </row>
    <row r="17" spans="1:11">
      <c r="A17">
        <v>16</v>
      </c>
      <c r="B17" t="s">
        <v>94</v>
      </c>
      <c r="C17" t="s">
        <v>91</v>
      </c>
      <c r="D17">
        <v>4</v>
      </c>
      <c r="E17">
        <v>15</v>
      </c>
      <c r="F17">
        <f t="shared" si="0"/>
        <v>41.125</v>
      </c>
      <c r="G17">
        <f>ROUND(Enrolment3[[#This Row],[Customers+Served]]/Enrolment3[[#This Row],[CMA: centered moving average]],4)</f>
        <v>0.36470000000000002</v>
      </c>
      <c r="H17">
        <f>ROUND(Enrolment3[[#This Row],[Customers+Served]]/_xlfn.XLOOKUP(Enrolment3[[#This Row],[Season]],$A$29:$A$32,$C$29:$C$32),1)</f>
        <v>29.5</v>
      </c>
      <c r="I17">
        <f>$B$51+$B$52*Enrolment3[[#This Row],[t]]</f>
        <v>39.700000000000003</v>
      </c>
      <c r="J17" s="14">
        <f>ROUND(Enrolment3[[#This Row],[Deseasonalized trend projection]]*_xlfn.XLOOKUP(Enrolment3[[#This Row],[Season]],$A$29:$A$32,$C$29:$C$32),1)</f>
        <v>20.2</v>
      </c>
      <c r="K17">
        <f>(Enrolment3[[#This Row],[Final Forecast]]-Enrolment3[[#This Row],[Customers+Served]])^2</f>
        <v>27.039999999999992</v>
      </c>
    </row>
    <row r="18" spans="1:11">
      <c r="A18">
        <v>17</v>
      </c>
      <c r="B18" t="s">
        <v>95</v>
      </c>
      <c r="C18" t="s">
        <v>88</v>
      </c>
      <c r="D18">
        <v>1</v>
      </c>
      <c r="E18">
        <v>27</v>
      </c>
      <c r="F18">
        <f t="shared" si="0"/>
        <v>43.75</v>
      </c>
      <c r="G18">
        <f>ROUND(Enrolment3[[#This Row],[Customers+Served]]/Enrolment3[[#This Row],[CMA: centered moving average]],4)</f>
        <v>0.61709999999999998</v>
      </c>
      <c r="H18">
        <f>ROUND(Enrolment3[[#This Row],[Customers+Served]]/_xlfn.XLOOKUP(Enrolment3[[#This Row],[Season]],$A$29:$A$32,$C$29:$C$32),1)</f>
        <v>39.200000000000003</v>
      </c>
      <c r="I18">
        <f>$B$51+$B$52*Enrolment3[[#This Row],[t]]</f>
        <v>40.700000000000003</v>
      </c>
      <c r="J18" s="14">
        <f>ROUND(Enrolment3[[#This Row],[Deseasonalized trend projection]]*_xlfn.XLOOKUP(Enrolment3[[#This Row],[Season]],$A$29:$A$32,$C$29:$C$32),1)</f>
        <v>28</v>
      </c>
      <c r="K18">
        <f>(Enrolment3[[#This Row],[Final Forecast]]-Enrolment3[[#This Row],[Customers+Served]])^2</f>
        <v>1</v>
      </c>
    </row>
    <row r="19" spans="1:11">
      <c r="A19">
        <v>18</v>
      </c>
      <c r="B19" t="s">
        <v>95</v>
      </c>
      <c r="C19" t="s">
        <v>89</v>
      </c>
      <c r="D19">
        <v>2</v>
      </c>
      <c r="E19">
        <v>77</v>
      </c>
      <c r="F19">
        <f t="shared" si="0"/>
        <v>46.875</v>
      </c>
      <c r="G19">
        <f>ROUND(Enrolment3[[#This Row],[Customers+Served]]/Enrolment3[[#This Row],[CMA: centered moving average]],4)</f>
        <v>1.6427</v>
      </c>
      <c r="H19">
        <f>ROUND(Enrolment3[[#This Row],[Customers+Served]]/_xlfn.XLOOKUP(Enrolment3[[#This Row],[Season]],$A$29:$A$32,$C$29:$C$32),1)</f>
        <v>44.6</v>
      </c>
      <c r="I19">
        <f>$B$51+$B$52*Enrolment3[[#This Row],[t]]</f>
        <v>41.7</v>
      </c>
      <c r="J19" s="14">
        <f>ROUND(Enrolment3[[#This Row],[Deseasonalized trend projection]]*_xlfn.XLOOKUP(Enrolment3[[#This Row],[Season]],$A$29:$A$32,$C$29:$C$32),1)</f>
        <v>72</v>
      </c>
      <c r="K19">
        <f>(Enrolment3[[#This Row],[Final Forecast]]-Enrolment3[[#This Row],[Customers+Served]])^2</f>
        <v>25</v>
      </c>
    </row>
    <row r="20" spans="1:11">
      <c r="A20">
        <v>19</v>
      </c>
      <c r="B20" t="s">
        <v>95</v>
      </c>
      <c r="C20" t="s">
        <v>90</v>
      </c>
      <c r="D20">
        <v>3</v>
      </c>
      <c r="E20">
        <v>64</v>
      </c>
      <c r="H20">
        <f>ROUND(Enrolment3[[#This Row],[Customers+Served]]/_xlfn.XLOOKUP(Enrolment3[[#This Row],[Season]],$A$29:$A$32,$C$29:$C$32),1)</f>
        <v>40.4</v>
      </c>
      <c r="I20">
        <f>$B$51+$B$52*Enrolment3[[#This Row],[t]]</f>
        <v>42.7</v>
      </c>
      <c r="J20" s="14">
        <f>ROUND(Enrolment3[[#This Row],[Deseasonalized trend projection]]*_xlfn.XLOOKUP(Enrolment3[[#This Row],[Season]],$A$29:$A$32,$C$29:$C$32),1)</f>
        <v>67.599999999999994</v>
      </c>
      <c r="K20">
        <f>(Enrolment3[[#This Row],[Final Forecast]]-Enrolment3[[#This Row],[Customers+Served]])^2</f>
        <v>12.959999999999958</v>
      </c>
    </row>
    <row r="21" spans="1:11">
      <c r="A21">
        <v>20</v>
      </c>
      <c r="B21" t="s">
        <v>95</v>
      </c>
      <c r="C21" t="s">
        <v>91</v>
      </c>
      <c r="D21">
        <v>4</v>
      </c>
      <c r="E21">
        <v>24</v>
      </c>
      <c r="H21">
        <f>ROUND(Enrolment3[[#This Row],[Customers+Served]]/_xlfn.XLOOKUP(Enrolment3[[#This Row],[Season]],$A$29:$A$32,$C$29:$C$32),1)</f>
        <v>47.2</v>
      </c>
      <c r="I21">
        <f>$B$51+$B$52*Enrolment3[[#This Row],[t]]</f>
        <v>43.7</v>
      </c>
      <c r="J21" s="14">
        <f>ROUND(Enrolment3[[#This Row],[Deseasonalized trend projection]]*_xlfn.XLOOKUP(Enrolment3[[#This Row],[Season]],$A$29:$A$32,$C$29:$C$32),1)</f>
        <v>22.2</v>
      </c>
      <c r="K21">
        <f>(Enrolment3[[#This Row],[Final Forecast]]-Enrolment3[[#This Row],[Customers+Served]])^2</f>
        <v>3.2400000000000024</v>
      </c>
    </row>
    <row r="22" spans="1:11">
      <c r="A22" s="9">
        <v>21</v>
      </c>
      <c r="B22" s="9" t="s">
        <v>87</v>
      </c>
      <c r="C22" s="9" t="s">
        <v>88</v>
      </c>
      <c r="D22" s="9">
        <v>1</v>
      </c>
      <c r="E22" s="9"/>
      <c r="F22" s="9"/>
      <c r="G22" s="9"/>
      <c r="H22" s="9"/>
      <c r="I22" s="9">
        <f>$B$51+$B$52*Enrolment3[[#This Row],[t]]</f>
        <v>44.7</v>
      </c>
      <c r="J22" s="14">
        <f>ROUND(Enrolment3[[#This Row],[Deseasonalized trend projection]]*_xlfn.XLOOKUP(Enrolment3[[#This Row],[Season]],$A$29:$A$32,$C$29:$C$32),1)</f>
        <v>30.8</v>
      </c>
      <c r="K22" s="9"/>
    </row>
    <row r="23" spans="1:11">
      <c r="A23" s="9">
        <v>22</v>
      </c>
      <c r="B23" s="9" t="s">
        <v>87</v>
      </c>
      <c r="C23" s="9" t="s">
        <v>89</v>
      </c>
      <c r="D23" s="9">
        <v>2</v>
      </c>
      <c r="E23" s="9"/>
      <c r="F23" s="9"/>
      <c r="G23" s="9"/>
      <c r="H23" s="9"/>
      <c r="I23" s="9">
        <f>$B$51+$B$52*Enrolment3[[#This Row],[t]]</f>
        <v>45.7</v>
      </c>
      <c r="J23" s="14">
        <f>ROUND(Enrolment3[[#This Row],[Deseasonalized trend projection]]*_xlfn.XLOOKUP(Enrolment3[[#This Row],[Season]],$A$29:$A$32,$C$29:$C$32),1)</f>
        <v>79</v>
      </c>
      <c r="K23" s="9"/>
    </row>
    <row r="24" spans="1:11">
      <c r="A24" s="9">
        <v>23</v>
      </c>
      <c r="B24" s="9" t="s">
        <v>87</v>
      </c>
      <c r="C24" s="9" t="s">
        <v>90</v>
      </c>
      <c r="D24" s="9">
        <v>3</v>
      </c>
      <c r="E24" s="9"/>
      <c r="F24" s="9"/>
      <c r="G24" s="9"/>
      <c r="H24" s="9"/>
      <c r="I24" s="9">
        <f>$B$51+$B$52*Enrolment3[[#This Row],[t]]</f>
        <v>46.7</v>
      </c>
      <c r="J24" s="14">
        <f>ROUND(Enrolment3[[#This Row],[Deseasonalized trend projection]]*_xlfn.XLOOKUP(Enrolment3[[#This Row],[Season]],$A$29:$A$32,$C$29:$C$32),1)</f>
        <v>74</v>
      </c>
      <c r="K24" s="9"/>
    </row>
    <row r="25" spans="1:11" ht="15.75" thickBot="1">
      <c r="A25" s="9">
        <v>24</v>
      </c>
      <c r="B25" s="9" t="s">
        <v>87</v>
      </c>
      <c r="C25" s="9" t="s">
        <v>91</v>
      </c>
      <c r="D25" s="9">
        <v>4</v>
      </c>
      <c r="E25" s="28"/>
      <c r="F25" s="9"/>
      <c r="G25" s="9"/>
      <c r="H25" s="9"/>
      <c r="I25" s="21">
        <f>$B$51+$B$52*Enrolment3[[#This Row],[t]]</f>
        <v>47.7</v>
      </c>
      <c r="J25" s="14">
        <f>ROUND(Enrolment3[[#This Row],[Deseasonalized trend projection]]*_xlfn.XLOOKUP(Enrolment3[[#This Row],[Season]],$A$29:$A$32,$C$29:$C$32),1)</f>
        <v>24.3</v>
      </c>
      <c r="K25" s="21"/>
    </row>
    <row r="27" spans="1:11">
      <c r="J27" t="s">
        <v>107</v>
      </c>
      <c r="K27" s="26">
        <f>AVERAGE(K2:K21)</f>
        <v>27.785999999999994</v>
      </c>
    </row>
    <row r="28" spans="1:11">
      <c r="A28" s="10" t="s">
        <v>45</v>
      </c>
      <c r="C28" s="10" t="s">
        <v>46</v>
      </c>
      <c r="D28" s="10"/>
    </row>
    <row r="29" spans="1:11">
      <c r="A29">
        <v>1</v>
      </c>
      <c r="B29">
        <f>ROUND(AVERAGEIF($D$3:$D$19,A29,$G$3:$G$19),4)</f>
        <v>0.60729999999999995</v>
      </c>
      <c r="C29" s="10">
        <f>ROUND(B29*4/$B$33,4)</f>
        <v>0.68820000000000003</v>
      </c>
    </row>
    <row r="30" spans="1:11">
      <c r="A30">
        <v>2</v>
      </c>
      <c r="B30">
        <f t="shared" ref="B30:B32" si="1">ROUND(AVERAGEIF($D$3:$D$19,A30,$G$3:$G$19),4)</f>
        <v>1.5246</v>
      </c>
      <c r="C30" s="10">
        <f t="shared" ref="C30:C32" si="2">ROUND(B30*4/$B$33,4)</f>
        <v>1.7277</v>
      </c>
    </row>
    <row r="31" spans="1:11">
      <c r="A31">
        <v>3</v>
      </c>
      <c r="B31">
        <f t="shared" si="1"/>
        <v>1.3978999999999999</v>
      </c>
      <c r="C31" s="10">
        <f t="shared" si="2"/>
        <v>1.5841000000000001</v>
      </c>
    </row>
    <row r="32" spans="1:11">
      <c r="A32">
        <v>4</v>
      </c>
      <c r="B32">
        <f t="shared" si="1"/>
        <v>0.44900000000000001</v>
      </c>
      <c r="C32" s="10">
        <f t="shared" si="2"/>
        <v>0.50880000000000003</v>
      </c>
    </row>
    <row r="33" spans="1:6">
      <c r="A33" t="s">
        <v>47</v>
      </c>
      <c r="B33">
        <f>SUM(B29:B31)</f>
        <v>3.5297999999999998</v>
      </c>
      <c r="C33">
        <f>SUM(C29:C31)</f>
        <v>4</v>
      </c>
    </row>
    <row r="35" spans="1:6">
      <c r="A35" s="10" t="s">
        <v>106</v>
      </c>
    </row>
    <row r="36" spans="1:6" ht="15.75" thickBot="1"/>
    <row r="37" spans="1:6">
      <c r="A37" s="19" t="s">
        <v>48</v>
      </c>
      <c r="B37" s="19"/>
    </row>
    <row r="38" spans="1:6">
      <c r="A38" t="s">
        <v>49</v>
      </c>
      <c r="B38">
        <v>0.76623698430122456</v>
      </c>
    </row>
    <row r="39" spans="1:6">
      <c r="A39" t="s">
        <v>50</v>
      </c>
      <c r="B39">
        <v>0.58711911611103507</v>
      </c>
    </row>
    <row r="40" spans="1:6">
      <c r="A40" t="s">
        <v>51</v>
      </c>
      <c r="B40">
        <v>0.56418128922831479</v>
      </c>
    </row>
    <row r="41" spans="1:6">
      <c r="A41" t="s">
        <v>52</v>
      </c>
      <c r="B41">
        <v>5.0748801484668835</v>
      </c>
    </row>
    <row r="42" spans="1:6" ht="15.75" thickBot="1">
      <c r="A42" s="17" t="s">
        <v>53</v>
      </c>
      <c r="B42" s="17">
        <v>20</v>
      </c>
    </row>
    <row r="44" spans="1:6" ht="15.75" thickBot="1">
      <c r="A44" t="s">
        <v>54</v>
      </c>
    </row>
    <row r="45" spans="1:6">
      <c r="A45" s="18"/>
      <c r="B45" s="18" t="s">
        <v>55</v>
      </c>
      <c r="C45" s="18" t="s">
        <v>56</v>
      </c>
      <c r="D45" s="18" t="s">
        <v>57</v>
      </c>
      <c r="E45" s="18" t="s">
        <v>58</v>
      </c>
      <c r="F45" s="18" t="s">
        <v>59</v>
      </c>
    </row>
    <row r="46" spans="1:6">
      <c r="A46" t="s">
        <v>60</v>
      </c>
      <c r="B46">
        <v>1</v>
      </c>
      <c r="C46">
        <v>659.21264661654141</v>
      </c>
      <c r="D46">
        <v>659.21264661654141</v>
      </c>
      <c r="E46">
        <v>25.596108956307841</v>
      </c>
      <c r="F46">
        <v>8.1680301034753227E-5</v>
      </c>
    </row>
    <row r="47" spans="1:6">
      <c r="A47" t="s">
        <v>61</v>
      </c>
      <c r="B47">
        <v>18</v>
      </c>
      <c r="C47">
        <v>463.57935338345874</v>
      </c>
      <c r="D47">
        <v>25.754408521303262</v>
      </c>
    </row>
    <row r="48" spans="1:6" ht="15.75" thickBot="1">
      <c r="A48" s="17" t="s">
        <v>62</v>
      </c>
      <c r="B48" s="17">
        <v>19</v>
      </c>
      <c r="C48" s="17">
        <v>1122.7920000000001</v>
      </c>
      <c r="D48" s="17"/>
      <c r="E48" s="17"/>
      <c r="F48" s="17"/>
    </row>
    <row r="49" spans="1:10" ht="15.75" thickBot="1"/>
    <row r="50" spans="1:10">
      <c r="A50" s="18"/>
      <c r="B50" s="18" t="s">
        <v>63</v>
      </c>
      <c r="C50" s="18" t="s">
        <v>52</v>
      </c>
      <c r="D50" s="18" t="s">
        <v>64</v>
      </c>
      <c r="E50" s="18" t="s">
        <v>65</v>
      </c>
      <c r="F50" s="18" t="s">
        <v>66</v>
      </c>
      <c r="G50" s="18" t="s">
        <v>67</v>
      </c>
      <c r="H50" s="18" t="s">
        <v>68</v>
      </c>
      <c r="I50" s="18" t="s">
        <v>69</v>
      </c>
      <c r="J50" s="18" t="s">
        <v>69</v>
      </c>
    </row>
    <row r="51" spans="1:10">
      <c r="A51" t="s">
        <v>70</v>
      </c>
      <c r="B51">
        <v>23.7</v>
      </c>
      <c r="C51">
        <v>2.3574414647791739</v>
      </c>
      <c r="D51">
        <v>10.038760167434754</v>
      </c>
      <c r="E51">
        <v>8.4144867177237555E-9</v>
      </c>
      <c r="F51">
        <v>18.712988741751531</v>
      </c>
      <c r="G51">
        <v>28.618590205616897</v>
      </c>
      <c r="H51">
        <v>18.712988741751531</v>
      </c>
      <c r="I51">
        <v>28.618590205616897</v>
      </c>
      <c r="J51">
        <v>45406.930804155883</v>
      </c>
    </row>
    <row r="52" spans="1:10" ht="15.75" thickBot="1">
      <c r="A52" s="17" t="s">
        <v>7</v>
      </c>
      <c r="B52" s="17">
        <v>1</v>
      </c>
      <c r="C52" s="17">
        <v>0.19679541119299873</v>
      </c>
      <c r="D52" s="17">
        <v>5.0592597241402659</v>
      </c>
      <c r="E52" s="17">
        <v>8.1680301034753227E-5</v>
      </c>
      <c r="F52" s="17">
        <v>0.58218728095069205</v>
      </c>
      <c r="G52" s="17">
        <v>1.4090909145380297</v>
      </c>
      <c r="H52" s="17">
        <v>0.58218728095069205</v>
      </c>
      <c r="I52" s="17">
        <v>1.4090909145380297</v>
      </c>
      <c r="J52" s="17">
        <v>987.74036046445656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1ED3-3918-4BC3-89A5-69FAED673734}">
  <dimension ref="A1:E14"/>
  <sheetViews>
    <sheetView workbookViewId="0">
      <selection activeCell="I25" sqref="I25"/>
    </sheetView>
  </sheetViews>
  <sheetFormatPr defaultRowHeight="15"/>
  <cols>
    <col min="3" max="3" width="15.140625" customWidth="1"/>
    <col min="4" max="5" width="14.28515625" customWidth="1"/>
  </cols>
  <sheetData>
    <row r="1" spans="1:5" ht="71.25" customHeight="1">
      <c r="A1" s="10" t="s">
        <v>33</v>
      </c>
      <c r="B1" s="10" t="s">
        <v>34</v>
      </c>
      <c r="C1" s="12" t="s">
        <v>35</v>
      </c>
      <c r="D1" s="12" t="s">
        <v>36</v>
      </c>
      <c r="E1" s="13" t="s">
        <v>37</v>
      </c>
    </row>
    <row r="2" spans="1:5">
      <c r="A2">
        <v>2015</v>
      </c>
      <c r="E2" s="14"/>
    </row>
    <row r="3" spans="1:5">
      <c r="A3">
        <v>2016</v>
      </c>
      <c r="C3">
        <f>B2</f>
        <v>0</v>
      </c>
      <c r="D3">
        <v>0</v>
      </c>
      <c r="E3" s="14">
        <f>SUM(C3:D3)</f>
        <v>0</v>
      </c>
    </row>
    <row r="4" spans="1:5">
      <c r="A4">
        <v>2017</v>
      </c>
      <c r="C4">
        <f>ROUND(E3+$B$11*(B3-E3),$B$13)</f>
        <v>0</v>
      </c>
      <c r="D4">
        <f>ROUND(D3+$B$12*(C4-E3),$B$13)</f>
        <v>0</v>
      </c>
      <c r="E4" s="14">
        <f t="shared" ref="E4:E8" si="0">SUM(C4:D4)</f>
        <v>0</v>
      </c>
    </row>
    <row r="5" spans="1:5">
      <c r="A5">
        <v>2018</v>
      </c>
      <c r="B5">
        <v>5</v>
      </c>
      <c r="C5">
        <v>5.5419999999999998</v>
      </c>
      <c r="D5">
        <v>8.6999999999999994E-2</v>
      </c>
      <c r="E5" s="14">
        <f t="shared" si="0"/>
        <v>5.6289999999999996</v>
      </c>
    </row>
    <row r="6" spans="1:5">
      <c r="A6">
        <v>2019</v>
      </c>
      <c r="B6">
        <v>6.7</v>
      </c>
      <c r="C6">
        <f>ROUND(E5+$B$11*(B5-E5),$B$13)</f>
        <v>5.1760000000000002</v>
      </c>
      <c r="D6">
        <f>ROUND(D5+$B$12*(C6-E5),$B$13)</f>
        <v>2.8000000000000001E-2</v>
      </c>
      <c r="E6" s="14">
        <f t="shared" si="0"/>
        <v>5.2039999999999997</v>
      </c>
    </row>
    <row r="7" spans="1:5">
      <c r="A7">
        <v>2020</v>
      </c>
      <c r="B7">
        <v>6</v>
      </c>
      <c r="C7">
        <f>ROUND(E6+$B$11*(B6-E6),$B$13)</f>
        <v>6.2809999999999997</v>
      </c>
      <c r="D7">
        <f>ROUND(D6+$B$12*(C7-E6),$B$13)</f>
        <v>0.16800000000000001</v>
      </c>
      <c r="E7" s="14">
        <f t="shared" si="0"/>
        <v>6.4489999999999998</v>
      </c>
    </row>
    <row r="8" spans="1:5">
      <c r="A8">
        <v>2021</v>
      </c>
      <c r="C8">
        <f>ROUND(E7+$B$11*(B7-E7),$B$13)</f>
        <v>6.1260000000000003</v>
      </c>
      <c r="D8">
        <f>ROUND(D7+$B$12*(C8-E7),$B$13)</f>
        <v>0.126</v>
      </c>
      <c r="E8" s="14">
        <f t="shared" si="0"/>
        <v>6.2520000000000007</v>
      </c>
    </row>
    <row r="11" spans="1:5">
      <c r="A11" s="10" t="s">
        <v>30</v>
      </c>
      <c r="B11" s="10">
        <v>0.72</v>
      </c>
    </row>
    <row r="12" spans="1:5">
      <c r="A12" s="10" t="s">
        <v>31</v>
      </c>
      <c r="B12" s="10">
        <v>0.13</v>
      </c>
    </row>
    <row r="13" spans="1:5">
      <c r="A13" s="10" t="s">
        <v>32</v>
      </c>
      <c r="B13" s="10">
        <v>3</v>
      </c>
    </row>
    <row r="14" spans="1:5">
      <c r="A14" s="10" t="s">
        <v>38</v>
      </c>
      <c r="B14">
        <f>COUNT(A3:A8)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72A2-C780-EE4C-A852-4AB994178A2A}">
  <dimension ref="A1:I9"/>
  <sheetViews>
    <sheetView zoomScale="162" zoomScaleNormal="162" workbookViewId="0">
      <selection activeCell="F13" sqref="F13"/>
    </sheetView>
  </sheetViews>
  <sheetFormatPr defaultColWidth="11.42578125" defaultRowHeight="15"/>
  <cols>
    <col min="4" max="4" width="17.7109375" customWidth="1"/>
  </cols>
  <sheetData>
    <row r="1" spans="1:9" ht="45">
      <c r="A1" s="7" t="s">
        <v>10</v>
      </c>
      <c r="B1" s="7" t="s">
        <v>11</v>
      </c>
      <c r="C1" s="7" t="s">
        <v>0</v>
      </c>
      <c r="D1" s="4" t="s">
        <v>12</v>
      </c>
      <c r="E1" s="8" t="s">
        <v>13</v>
      </c>
      <c r="F1" s="8" t="s">
        <v>14</v>
      </c>
      <c r="G1" s="8" t="s">
        <v>15</v>
      </c>
      <c r="H1" s="30" t="s">
        <v>105</v>
      </c>
      <c r="I1" s="11" t="s">
        <v>29</v>
      </c>
    </row>
    <row r="2" spans="1:9">
      <c r="A2" s="47" t="s">
        <v>16</v>
      </c>
      <c r="B2" s="48"/>
      <c r="C2" s="48"/>
      <c r="D2" s="49"/>
      <c r="E2" s="8">
        <v>0</v>
      </c>
      <c r="F2" s="8">
        <v>0</v>
      </c>
      <c r="G2" s="8">
        <v>0</v>
      </c>
    </row>
    <row r="3" spans="1:9">
      <c r="A3" s="9">
        <v>8</v>
      </c>
      <c r="B3" s="9">
        <v>4</v>
      </c>
      <c r="C3" s="9">
        <v>1</v>
      </c>
      <c r="D3" s="29">
        <f>C3*(E2*A3+F2*B3+G2)</f>
        <v>0</v>
      </c>
      <c r="E3" s="29">
        <f>IF($D3&gt;0,E2,E2+$C3*A3)</f>
        <v>8</v>
      </c>
      <c r="F3" s="29">
        <f>IF($D3&gt;0,F2,F2+$C3*B3)</f>
        <v>4</v>
      </c>
      <c r="G3" s="29">
        <f>IF(D3&gt;0,G2,G2+C3)</f>
        <v>1</v>
      </c>
      <c r="H3" s="9">
        <f>(14*A3-19*B3-21)*C3</f>
        <v>15</v>
      </c>
      <c r="I3" s="9">
        <f t="shared" ref="I3:I8" si="0">IF(H3&lt;=0,1,0)</f>
        <v>0</v>
      </c>
    </row>
    <row r="4" spans="1:9">
      <c r="A4" s="9">
        <v>9</v>
      </c>
      <c r="B4" s="9">
        <v>0</v>
      </c>
      <c r="C4" s="9">
        <v>1</v>
      </c>
      <c r="D4" s="29">
        <f t="shared" ref="D4:D5" si="1">C4*(E3*A4+F3*B4+G3)</f>
        <v>73</v>
      </c>
      <c r="E4" s="29">
        <f t="shared" ref="E4:E5" si="2">IF($D4&gt;0,E3,E3+$C4*A4)</f>
        <v>8</v>
      </c>
      <c r="F4" s="29">
        <f t="shared" ref="F4:F5" si="3">IF($D4&gt;0,F3,F3+$C4*B4)</f>
        <v>4</v>
      </c>
      <c r="G4" s="29">
        <f t="shared" ref="G4:G5" si="4">IF(D4&gt;0,G3,G3+C4)</f>
        <v>1</v>
      </c>
      <c r="H4" s="9">
        <f t="shared" ref="H4:H8" si="5">(14*A4-19*B4-21)*C4</f>
        <v>105</v>
      </c>
      <c r="I4" s="9">
        <f t="shared" si="0"/>
        <v>0</v>
      </c>
    </row>
    <row r="5" spans="1:9">
      <c r="A5" s="9">
        <v>10</v>
      </c>
      <c r="B5" s="9">
        <v>7</v>
      </c>
      <c r="C5" s="9">
        <v>1</v>
      </c>
      <c r="D5" s="29">
        <f t="shared" si="1"/>
        <v>109</v>
      </c>
      <c r="E5" s="29">
        <f t="shared" si="2"/>
        <v>8</v>
      </c>
      <c r="F5" s="29">
        <f t="shared" si="3"/>
        <v>4</v>
      </c>
      <c r="G5" s="29">
        <f t="shared" si="4"/>
        <v>1</v>
      </c>
      <c r="H5" s="9">
        <f t="shared" si="5"/>
        <v>-14</v>
      </c>
      <c r="I5" s="9">
        <f t="shared" si="0"/>
        <v>1</v>
      </c>
    </row>
    <row r="6" spans="1:9">
      <c r="A6">
        <v>7</v>
      </c>
      <c r="B6">
        <v>6</v>
      </c>
      <c r="C6">
        <v>-1</v>
      </c>
      <c r="D6" s="8"/>
      <c r="E6" s="8"/>
      <c r="F6" s="8"/>
      <c r="G6" s="8"/>
      <c r="H6" s="9">
        <f t="shared" si="5"/>
        <v>37</v>
      </c>
      <c r="I6" s="9">
        <f t="shared" si="0"/>
        <v>0</v>
      </c>
    </row>
    <row r="7" spans="1:9">
      <c r="A7">
        <v>3</v>
      </c>
      <c r="B7">
        <v>1</v>
      </c>
      <c r="C7">
        <v>-1</v>
      </c>
      <c r="D7" s="8"/>
      <c r="E7" s="8"/>
      <c r="F7" s="8"/>
      <c r="G7" s="8"/>
      <c r="H7" s="9">
        <f t="shared" si="5"/>
        <v>-2</v>
      </c>
      <c r="I7" s="9">
        <f t="shared" si="0"/>
        <v>1</v>
      </c>
    </row>
    <row r="8" spans="1:9">
      <c r="A8">
        <v>6</v>
      </c>
      <c r="B8">
        <v>0</v>
      </c>
      <c r="C8">
        <v>1</v>
      </c>
      <c r="D8" s="8"/>
      <c r="E8" s="8"/>
      <c r="F8" s="8"/>
      <c r="G8" s="8"/>
      <c r="H8" s="9">
        <f t="shared" si="5"/>
        <v>63</v>
      </c>
      <c r="I8" s="9">
        <f t="shared" si="0"/>
        <v>0</v>
      </c>
    </row>
    <row r="9" spans="1:9">
      <c r="D9" s="8"/>
      <c r="E9" s="8"/>
      <c r="F9" s="8"/>
      <c r="G9" s="8"/>
      <c r="I9">
        <f>ROUND(AVERAGE(I3:I8),4)</f>
        <v>0.33329999999999999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F666-4612-4D48-9B6B-939C97B167CD}">
  <dimension ref="A2:L28"/>
  <sheetViews>
    <sheetView tabSelected="1" zoomScale="133" workbookViewId="0">
      <selection activeCell="C10" sqref="C10"/>
    </sheetView>
  </sheetViews>
  <sheetFormatPr defaultColWidth="11.42578125" defaultRowHeight="15"/>
  <cols>
    <col min="6" max="6" width="29.7109375" customWidth="1"/>
  </cols>
  <sheetData>
    <row r="2" spans="1:12">
      <c r="A2" t="s">
        <v>104</v>
      </c>
    </row>
    <row r="3" spans="1:12" ht="18">
      <c r="A3" s="6" t="s">
        <v>7</v>
      </c>
      <c r="B3" s="6" t="s">
        <v>8</v>
      </c>
      <c r="C3" s="1" t="s">
        <v>1</v>
      </c>
      <c r="D3" s="2" t="s">
        <v>2</v>
      </c>
      <c r="E3" s="3" t="s">
        <v>0</v>
      </c>
      <c r="F3" s="4" t="s">
        <v>17</v>
      </c>
      <c r="G3" s="1" t="s">
        <v>3</v>
      </c>
      <c r="H3" s="2" t="s">
        <v>4</v>
      </c>
      <c r="I3" s="3" t="s">
        <v>5</v>
      </c>
      <c r="K3" s="5" t="s">
        <v>6</v>
      </c>
      <c r="L3" s="31">
        <v>2</v>
      </c>
    </row>
    <row r="4" spans="1:12">
      <c r="A4" s="31"/>
      <c r="B4" s="31"/>
      <c r="C4" s="32" t="s">
        <v>9</v>
      </c>
      <c r="D4" s="32"/>
      <c r="E4" s="32"/>
      <c r="F4" s="32"/>
      <c r="G4" s="33">
        <v>0</v>
      </c>
      <c r="H4" s="33">
        <v>0</v>
      </c>
      <c r="I4" s="33">
        <v>0</v>
      </c>
    </row>
    <row r="5" spans="1:12">
      <c r="A5" s="31">
        <v>1</v>
      </c>
      <c r="B5" s="31">
        <f>1/(1+A5)</f>
        <v>0.5</v>
      </c>
      <c r="C5" s="34">
        <v>10</v>
      </c>
      <c r="D5" s="34">
        <v>7</v>
      </c>
      <c r="E5" s="34">
        <v>1</v>
      </c>
      <c r="F5" s="35">
        <f>ROUND(E5*(G4*C5+H4*D5+I4),4)</f>
        <v>0</v>
      </c>
      <c r="G5" s="36">
        <f t="shared" ref="G5:H7" si="0">ROUND(IF($F5&gt;=1,G4-$B5*$L$3*G4,G4-$B5*(-$E5*C5+$L$3*G4)),4)</f>
        <v>5</v>
      </c>
      <c r="H5" s="37">
        <f t="shared" si="0"/>
        <v>3.5</v>
      </c>
      <c r="I5" s="38">
        <f>ROUND(IF(F5&gt;=1,I4,I4-B5*(-E5)),4)</f>
        <v>0.5</v>
      </c>
    </row>
    <row r="6" spans="1:12">
      <c r="A6" s="31">
        <v>2</v>
      </c>
      <c r="B6" s="31">
        <f t="shared" ref="B6:B7" si="1">1/(1+A6)</f>
        <v>0.33333333333333331</v>
      </c>
      <c r="C6" s="34">
        <v>9</v>
      </c>
      <c r="D6" s="34">
        <v>0</v>
      </c>
      <c r="E6" s="34">
        <v>1</v>
      </c>
      <c r="F6" s="39">
        <f t="shared" ref="F6:F7" si="2">ROUND(E6*(G5*C6+H5*D6+I5),4)</f>
        <v>45.5</v>
      </c>
      <c r="G6" s="40">
        <f t="shared" si="0"/>
        <v>1.6667000000000001</v>
      </c>
      <c r="H6" s="41">
        <f t="shared" si="0"/>
        <v>1.1667000000000001</v>
      </c>
      <c r="I6" s="42">
        <f t="shared" ref="I6:I7" si="3">ROUND(IF(F6&gt;=1,I5,I5-B6*(-E6)),4)</f>
        <v>0.5</v>
      </c>
      <c r="J6" t="s">
        <v>113</v>
      </c>
    </row>
    <row r="7" spans="1:12">
      <c r="A7" s="31">
        <v>3</v>
      </c>
      <c r="B7" s="31">
        <f t="shared" si="1"/>
        <v>0.25</v>
      </c>
      <c r="C7" s="34">
        <v>9</v>
      </c>
      <c r="D7" s="34">
        <v>0</v>
      </c>
      <c r="E7" s="34">
        <v>1</v>
      </c>
      <c r="F7" s="43">
        <f t="shared" si="2"/>
        <v>15.500299999999999</v>
      </c>
      <c r="G7" s="44">
        <f t="shared" si="0"/>
        <v>0.83340000000000003</v>
      </c>
      <c r="H7" s="45">
        <f t="shared" si="0"/>
        <v>0.58340000000000003</v>
      </c>
      <c r="I7" s="46">
        <f t="shared" si="3"/>
        <v>0.5</v>
      </c>
    </row>
    <row r="11" spans="1:12">
      <c r="B11" s="9" t="s">
        <v>103</v>
      </c>
      <c r="C11" s="9"/>
      <c r="D11" s="9"/>
      <c r="E11" s="9"/>
      <c r="F11" s="9"/>
    </row>
    <row r="12" spans="1:12">
      <c r="B12" s="9" t="s">
        <v>1</v>
      </c>
      <c r="C12" s="9" t="s">
        <v>2</v>
      </c>
      <c r="D12" s="9" t="s">
        <v>21</v>
      </c>
      <c r="E12" s="9" t="s">
        <v>23</v>
      </c>
      <c r="F12" s="9" t="s">
        <v>24</v>
      </c>
    </row>
    <row r="13" spans="1:12">
      <c r="B13" s="9">
        <v>8</v>
      </c>
      <c r="C13" s="9">
        <v>4</v>
      </c>
      <c r="D13" s="9">
        <v>1</v>
      </c>
      <c r="E13" s="9">
        <f>D13*($C$24*B13+$C$25*C13+$C$26)</f>
        <v>1.6493</v>
      </c>
      <c r="F13" s="9">
        <f>IF(E13&gt;=1,0,1-E13)</f>
        <v>0</v>
      </c>
    </row>
    <row r="14" spans="1:12">
      <c r="B14" s="9">
        <v>9</v>
      </c>
      <c r="C14" s="9">
        <v>0</v>
      </c>
      <c r="D14" s="9">
        <v>1</v>
      </c>
      <c r="E14" s="9">
        <f t="shared" ref="E14:E18" si="4">D14*($C$24*B14+$C$25*C14+$C$26)</f>
        <v>2.4451999999999998</v>
      </c>
      <c r="F14" s="9">
        <f t="shared" ref="F14:F18" si="5">IF(E14&gt;=1,0,1-E14)</f>
        <v>0</v>
      </c>
    </row>
    <row r="15" spans="1:12">
      <c r="B15" s="9">
        <v>10</v>
      </c>
      <c r="C15" s="9">
        <v>7</v>
      </c>
      <c r="D15" s="9">
        <v>1</v>
      </c>
      <c r="E15" s="9">
        <f t="shared" si="4"/>
        <v>1.7230999999999999</v>
      </c>
      <c r="F15" s="9">
        <f t="shared" si="5"/>
        <v>0</v>
      </c>
    </row>
    <row r="16" spans="1:12">
      <c r="B16" s="9">
        <v>7</v>
      </c>
      <c r="C16" s="9">
        <v>6</v>
      </c>
      <c r="D16" s="9">
        <v>-1</v>
      </c>
      <c r="E16" s="9">
        <f t="shared" si="4"/>
        <v>-1.1294</v>
      </c>
      <c r="F16" s="9">
        <f t="shared" si="5"/>
        <v>2.1294</v>
      </c>
    </row>
    <row r="17" spans="2:7">
      <c r="B17" s="9">
        <v>3</v>
      </c>
      <c r="C17" s="9">
        <v>1</v>
      </c>
      <c r="D17" s="9">
        <v>-1</v>
      </c>
      <c r="E17" s="9">
        <f t="shared" si="4"/>
        <v>-0.84379999999999999</v>
      </c>
      <c r="F17" s="9">
        <f t="shared" si="5"/>
        <v>1.8437999999999999</v>
      </c>
    </row>
    <row r="18" spans="2:7">
      <c r="B18" s="9">
        <v>6</v>
      </c>
      <c r="C18" s="9">
        <v>0</v>
      </c>
      <c r="D18" s="9">
        <v>1</v>
      </c>
      <c r="E18" s="9">
        <f t="shared" si="4"/>
        <v>1.7135</v>
      </c>
      <c r="F18" s="9">
        <f t="shared" si="5"/>
        <v>0</v>
      </c>
    </row>
    <row r="19" spans="2:7">
      <c r="B19" s="26" t="s">
        <v>25</v>
      </c>
      <c r="C19" s="9"/>
      <c r="D19" s="9"/>
      <c r="E19" s="9"/>
      <c r="F19" s="26">
        <f>ROUND(AVERAGE(F13:F18),4)</f>
        <v>0.66220000000000001</v>
      </c>
    </row>
    <row r="20" spans="2:7">
      <c r="B20" s="26" t="s">
        <v>26</v>
      </c>
      <c r="C20" s="9"/>
      <c r="D20" s="9"/>
      <c r="E20" s="9"/>
      <c r="F20" s="26">
        <f>ROUND((C24^2+C25^2)*C28/2,4)</f>
        <v>7.85E-2</v>
      </c>
    </row>
    <row r="21" spans="2:7">
      <c r="B21" s="26" t="s">
        <v>22</v>
      </c>
      <c r="C21" s="9"/>
      <c r="D21" s="9"/>
      <c r="E21" s="9"/>
      <c r="F21" s="26">
        <f>F19+F20</f>
        <v>0.74070000000000003</v>
      </c>
    </row>
    <row r="22" spans="2:7">
      <c r="B22" s="9"/>
      <c r="C22" s="9"/>
      <c r="D22" s="9"/>
      <c r="E22" s="9"/>
      <c r="F22" s="9"/>
    </row>
    <row r="23" spans="2:7">
      <c r="B23" s="9"/>
      <c r="C23" s="9"/>
      <c r="D23" s="9"/>
      <c r="E23" s="9"/>
      <c r="F23" s="9"/>
    </row>
    <row r="24" spans="2:7">
      <c r="B24" s="9" t="s">
        <v>18</v>
      </c>
      <c r="C24" s="9">
        <v>0.24390000000000001</v>
      </c>
      <c r="D24" s="9"/>
      <c r="E24" s="9"/>
      <c r="F24" s="9"/>
    </row>
    <row r="25" spans="2:7">
      <c r="B25" s="9" t="s">
        <v>19</v>
      </c>
      <c r="C25" s="9">
        <v>-0.13800000000000001</v>
      </c>
      <c r="D25" s="9"/>
      <c r="E25" s="9"/>
      <c r="F25" s="9"/>
      <c r="G25" t="s">
        <v>114</v>
      </c>
    </row>
    <row r="26" spans="2:7">
      <c r="B26" s="9" t="s">
        <v>20</v>
      </c>
      <c r="C26" s="9">
        <v>0.25009999999999999</v>
      </c>
      <c r="D26" s="9"/>
      <c r="E26" s="9"/>
      <c r="F26" s="9"/>
    </row>
    <row r="27" spans="2:7">
      <c r="B27" s="9"/>
      <c r="C27" s="9"/>
      <c r="D27" s="9"/>
      <c r="E27" s="9"/>
      <c r="F27" s="9"/>
    </row>
    <row r="28" spans="2:7">
      <c r="B28" s="9" t="s">
        <v>27</v>
      </c>
      <c r="C28" s="9">
        <v>2</v>
      </c>
      <c r="D28" s="9"/>
      <c r="E28" s="9"/>
      <c r="F28" s="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Moving averages</vt:lpstr>
      <vt:lpstr>Regression</vt:lpstr>
      <vt:lpstr>Decomposition</vt:lpstr>
      <vt:lpstr>ExpSmooth</vt:lpstr>
      <vt:lpstr>Perceptron</vt:lpstr>
      <vt:lpstr>GradientDescent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Manning</dc:creator>
  <cp:lastModifiedBy>Marina</cp:lastModifiedBy>
  <dcterms:created xsi:type="dcterms:W3CDTF">2021-10-08T12:49:34Z</dcterms:created>
  <dcterms:modified xsi:type="dcterms:W3CDTF">2023-03-03T21:16:51Z</dcterms:modified>
</cp:coreProperties>
</file>