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30" yWindow="585" windowWidth="20640" windowHeight="10425" tabRatio="754" activeTab="4"/>
  </bookViews>
  <sheets>
    <sheet name="HDWM_PostHoc" sheetId="15" r:id="rId1"/>
    <sheet name="Demsar" sheetId="3" r:id="rId2"/>
    <sheet name="HDWM" sheetId="12" r:id="rId3"/>
    <sheet name="HDWM-Family" sheetId="17" r:id="rId4"/>
    <sheet name="HDWM_Family_PostHoc" sheetId="19" r:id="rId5"/>
    <sheet name="HDWM-DWM" sheetId="18" r:id="rId6"/>
  </sheets>
  <definedNames>
    <definedName name="GG" localSheetId="2">#REF!</definedName>
    <definedName name="GG" localSheetId="4">#REF!</definedName>
    <definedName name="GG" localSheetId="0">#REF!</definedName>
    <definedName name="GG" localSheetId="5">#REF!</definedName>
    <definedName name="GG" localSheetId="3">#REF!</definedName>
    <definedName name="GG">#REF!</definedName>
    <definedName name="k" localSheetId="4">#REF!</definedName>
    <definedName name="k" localSheetId="5">#REF!</definedName>
    <definedName name="k" localSheetId="3">#REF!</definedName>
    <definedName name="k">#REF!</definedName>
    <definedName name="n" localSheetId="4">#REF!</definedName>
    <definedName name="n" localSheetId="5">#REF!</definedName>
    <definedName name="n" localSheetId="3">#REF!</definedName>
    <definedName name="n">#REF!</definedName>
    <definedName name="rbar" localSheetId="4">#REF!</definedName>
    <definedName name="rbar" localSheetId="5">#REF!</definedName>
    <definedName name="rbar" localSheetId="3">#REF!</definedName>
    <definedName name="rbar">#REF!</definedName>
  </definedNames>
  <calcPr calcId="145621"/>
</workbook>
</file>

<file path=xl/calcChain.xml><?xml version="1.0" encoding="utf-8"?>
<calcChain xmlns="http://schemas.openxmlformats.org/spreadsheetml/2006/main">
  <c r="M66" i="19" l="1"/>
  <c r="M65" i="19"/>
  <c r="M64" i="19"/>
  <c r="N64" i="19"/>
  <c r="U66" i="19"/>
  <c r="U65" i="19"/>
  <c r="U64" i="19"/>
  <c r="V64" i="19"/>
  <c r="O50" i="19"/>
  <c r="E12" i="19"/>
  <c r="F34" i="17"/>
  <c r="F46" i="17"/>
  <c r="F45" i="17"/>
  <c r="H45" i="17"/>
  <c r="I45" i="17"/>
  <c r="G45" i="17"/>
  <c r="M14" i="19"/>
  <c r="G25" i="19"/>
  <c r="G50" i="19"/>
  <c r="N14" i="19"/>
  <c r="F12" i="19"/>
  <c r="L62" i="19" s="1"/>
  <c r="W83" i="19"/>
  <c r="Q83" i="19"/>
  <c r="W82" i="19"/>
  <c r="Q82" i="19"/>
  <c r="W81" i="19"/>
  <c r="Q81" i="19"/>
  <c r="W80" i="19"/>
  <c r="Q80" i="19"/>
  <c r="W79" i="19"/>
  <c r="Q79" i="19"/>
  <c r="T77" i="19"/>
  <c r="N77" i="19"/>
  <c r="W62" i="19"/>
  <c r="G36" i="19"/>
  <c r="O25" i="19"/>
  <c r="N65" i="19"/>
  <c r="N66" i="19" s="1"/>
  <c r="P14" i="19"/>
  <c r="V62" i="19" s="1"/>
  <c r="O14" i="19"/>
  <c r="U62" i="19" s="1"/>
  <c r="H12" i="19"/>
  <c r="N62" i="19" s="1"/>
  <c r="G12" i="19"/>
  <c r="M62" i="19" s="1"/>
  <c r="F31" i="17"/>
  <c r="N73" i="17"/>
  <c r="N103" i="17"/>
  <c r="L99" i="17"/>
  <c r="L69" i="17"/>
  <c r="M110" i="17"/>
  <c r="U72" i="15"/>
  <c r="U75" i="15"/>
  <c r="U74" i="15"/>
  <c r="U73" i="15"/>
  <c r="U71" i="15"/>
  <c r="U70" i="15"/>
  <c r="U69" i="15"/>
  <c r="U68" i="15"/>
  <c r="U67" i="15"/>
  <c r="U66" i="15"/>
  <c r="U65" i="15"/>
  <c r="U64" i="15"/>
  <c r="V64" i="15"/>
  <c r="N64" i="15"/>
  <c r="M65" i="15"/>
  <c r="M67" i="15"/>
  <c r="M70" i="15"/>
  <c r="M73" i="15"/>
  <c r="M71" i="15"/>
  <c r="M74" i="15"/>
  <c r="M72" i="15"/>
  <c r="M75" i="15"/>
  <c r="T62" i="15"/>
  <c r="U62" i="15"/>
  <c r="V62" i="15"/>
  <c r="W62" i="15"/>
  <c r="X75" i="15"/>
  <c r="X73" i="15"/>
  <c r="X71" i="15"/>
  <c r="X69" i="15"/>
  <c r="X74" i="15"/>
  <c r="V66" i="15"/>
  <c r="V67" i="15"/>
  <c r="V68" i="15" s="1"/>
  <c r="V69" i="15" s="1"/>
  <c r="V70" i="15" s="1"/>
  <c r="V71" i="15" s="1"/>
  <c r="V72" i="15" s="1"/>
  <c r="V73" i="15" s="1"/>
  <c r="V74" i="15" s="1"/>
  <c r="V75" i="15" s="1"/>
  <c r="V65" i="15"/>
  <c r="M69" i="15"/>
  <c r="M68" i="15"/>
  <c r="M64" i="15"/>
  <c r="N65" i="15"/>
  <c r="N66" i="15" s="1"/>
  <c r="N67" i="15" s="1"/>
  <c r="L103" i="12"/>
  <c r="M23" i="3"/>
  <c r="M25" i="3" s="1"/>
  <c r="N107" i="12"/>
  <c r="M114" i="12"/>
  <c r="L73" i="12"/>
  <c r="G25" i="15"/>
  <c r="O50" i="15"/>
  <c r="N14" i="15"/>
  <c r="O14" i="15"/>
  <c r="M18" i="15" s="1"/>
  <c r="P14" i="15"/>
  <c r="M14" i="15"/>
  <c r="S62" i="15" s="1"/>
  <c r="G36" i="15"/>
  <c r="O25" i="15"/>
  <c r="G50" i="15"/>
  <c r="G50" i="12"/>
  <c r="H50" i="12"/>
  <c r="I50" i="12"/>
  <c r="F50" i="12"/>
  <c r="V65" i="19" l="1"/>
  <c r="V66" i="19" s="1"/>
  <c r="M18" i="19"/>
  <c r="S62" i="19"/>
  <c r="M17" i="19"/>
  <c r="E17" i="19"/>
  <c r="K62" i="19"/>
  <c r="N81" i="19" s="1"/>
  <c r="O81" i="19" s="1"/>
  <c r="P81" i="19" s="1"/>
  <c r="P66" i="19"/>
  <c r="E18" i="19"/>
  <c r="G19" i="19" s="1"/>
  <c r="F31" i="19" s="1"/>
  <c r="T62" i="19"/>
  <c r="X72" i="15"/>
  <c r="N68" i="15"/>
  <c r="N69" i="15" s="1"/>
  <c r="N70" i="15" s="1"/>
  <c r="N71" i="15" s="1"/>
  <c r="N72" i="15" s="1"/>
  <c r="N73" i="15" s="1"/>
  <c r="N74" i="15" s="1"/>
  <c r="N75" i="15" s="1"/>
  <c r="P67" i="15"/>
  <c r="P71" i="15"/>
  <c r="P69" i="15"/>
  <c r="X70" i="15"/>
  <c r="M17" i="15"/>
  <c r="G46" i="18"/>
  <c r="H46" i="18"/>
  <c r="I46" i="18"/>
  <c r="J46" i="18"/>
  <c r="K46" i="18"/>
  <c r="F46" i="18"/>
  <c r="F23" i="18"/>
  <c r="K15" i="18"/>
  <c r="K16" i="18"/>
  <c r="K17" i="18"/>
  <c r="K18" i="18"/>
  <c r="K14" i="18"/>
  <c r="K5" i="18"/>
  <c r="K6" i="18"/>
  <c r="K7" i="18"/>
  <c r="K8" i="18"/>
  <c r="K9" i="18"/>
  <c r="K10" i="18"/>
  <c r="K4" i="18"/>
  <c r="O19" i="19" l="1"/>
  <c r="N79" i="19"/>
  <c r="O79" i="19" s="1"/>
  <c r="P79" i="19" s="1"/>
  <c r="P64" i="19"/>
  <c r="N82" i="19"/>
  <c r="O82" i="19" s="1"/>
  <c r="P82" i="19" s="1"/>
  <c r="N80" i="19"/>
  <c r="O80" i="19" s="1"/>
  <c r="P80" i="19" s="1"/>
  <c r="P65" i="19"/>
  <c r="X66" i="19"/>
  <c r="T81" i="19"/>
  <c r="U81" i="19" s="1"/>
  <c r="V81" i="19" s="1"/>
  <c r="N83" i="19"/>
  <c r="O83" i="19" s="1"/>
  <c r="P83" i="19" s="1"/>
  <c r="X65" i="19"/>
  <c r="T80" i="19"/>
  <c r="U80" i="19" s="1"/>
  <c r="V80" i="19" s="1"/>
  <c r="P70" i="15"/>
  <c r="P73" i="15"/>
  <c r="P72" i="15"/>
  <c r="P74" i="15"/>
  <c r="H171" i="18"/>
  <c r="J171" i="18"/>
  <c r="L171" i="18"/>
  <c r="H172" i="18"/>
  <c r="J172" i="18"/>
  <c r="L172" i="18"/>
  <c r="H173" i="18"/>
  <c r="J173" i="18"/>
  <c r="L173" i="18"/>
  <c r="H174" i="18"/>
  <c r="J174" i="18"/>
  <c r="L174" i="18"/>
  <c r="G161" i="18"/>
  <c r="I161" i="18"/>
  <c r="K161" i="18"/>
  <c r="G162" i="18"/>
  <c r="I162" i="18"/>
  <c r="K162" i="18"/>
  <c r="G163" i="18"/>
  <c r="I163" i="18"/>
  <c r="K163" i="18"/>
  <c r="G164" i="18"/>
  <c r="I164" i="18"/>
  <c r="K164" i="18"/>
  <c r="G165" i="18"/>
  <c r="I165" i="18"/>
  <c r="K165" i="18"/>
  <c r="G166" i="18"/>
  <c r="I166" i="18"/>
  <c r="K166" i="18"/>
  <c r="J31" i="18"/>
  <c r="F35" i="18"/>
  <c r="G171" i="18" s="1"/>
  <c r="G35" i="18"/>
  <c r="H35" i="18"/>
  <c r="I171" i="18" s="1"/>
  <c r="I35" i="18"/>
  <c r="J35" i="18"/>
  <c r="K171" i="18" s="1"/>
  <c r="K35" i="18"/>
  <c r="F36" i="18"/>
  <c r="G172" i="18" s="1"/>
  <c r="G36" i="18"/>
  <c r="H36" i="18"/>
  <c r="I172" i="18" s="1"/>
  <c r="I36" i="18"/>
  <c r="J36" i="18"/>
  <c r="K172" i="18" s="1"/>
  <c r="K36" i="18"/>
  <c r="F37" i="18"/>
  <c r="G173" i="18" s="1"/>
  <c r="G37" i="18"/>
  <c r="H37" i="18"/>
  <c r="I173" i="18" s="1"/>
  <c r="I37" i="18"/>
  <c r="J37" i="18"/>
  <c r="K173" i="18" s="1"/>
  <c r="K37" i="18"/>
  <c r="F38" i="18"/>
  <c r="G174" i="18" s="1"/>
  <c r="G38" i="18"/>
  <c r="H38" i="18"/>
  <c r="I174" i="18" s="1"/>
  <c r="I38" i="18"/>
  <c r="J38" i="18"/>
  <c r="K174" i="18" s="1"/>
  <c r="K38" i="18"/>
  <c r="G34" i="18"/>
  <c r="H170" i="18" s="1"/>
  <c r="H34" i="18"/>
  <c r="I34" i="18"/>
  <c r="I45" i="18" s="1"/>
  <c r="J34" i="18"/>
  <c r="K170" i="18" s="1"/>
  <c r="K34" i="18"/>
  <c r="K45" i="18" s="1"/>
  <c r="F34" i="18"/>
  <c r="G170" i="18" s="1"/>
  <c r="F24" i="18"/>
  <c r="G24" i="18"/>
  <c r="H161" i="18" s="1"/>
  <c r="H24" i="18"/>
  <c r="H31" i="18" s="1"/>
  <c r="I24" i="18"/>
  <c r="J161" i="18" s="1"/>
  <c r="J24" i="18"/>
  <c r="K24" i="18"/>
  <c r="L161" i="18" s="1"/>
  <c r="F25" i="18"/>
  <c r="G25" i="18"/>
  <c r="H162" i="18" s="1"/>
  <c r="H25" i="18"/>
  <c r="I25" i="18"/>
  <c r="J162" i="18" s="1"/>
  <c r="J25" i="18"/>
  <c r="K25" i="18"/>
  <c r="L162" i="18" s="1"/>
  <c r="F26" i="18"/>
  <c r="G26" i="18"/>
  <c r="H163" i="18" s="1"/>
  <c r="H26" i="18"/>
  <c r="I26" i="18"/>
  <c r="J163" i="18" s="1"/>
  <c r="J26" i="18"/>
  <c r="K26" i="18"/>
  <c r="L163" i="18" s="1"/>
  <c r="F27" i="18"/>
  <c r="G27" i="18"/>
  <c r="H164" i="18" s="1"/>
  <c r="H27" i="18"/>
  <c r="I27" i="18"/>
  <c r="J164" i="18" s="1"/>
  <c r="J27" i="18"/>
  <c r="K27" i="18"/>
  <c r="L164" i="18" s="1"/>
  <c r="F28" i="18"/>
  <c r="G28" i="18"/>
  <c r="H165" i="18" s="1"/>
  <c r="H28" i="18"/>
  <c r="I28" i="18"/>
  <c r="J165" i="18" s="1"/>
  <c r="J28" i="18"/>
  <c r="K28" i="18"/>
  <c r="L165" i="18" s="1"/>
  <c r="F29" i="18"/>
  <c r="G29" i="18"/>
  <c r="H166" i="18" s="1"/>
  <c r="H29" i="18"/>
  <c r="I29" i="18"/>
  <c r="J166" i="18" s="1"/>
  <c r="J29" i="18"/>
  <c r="K29" i="18"/>
  <c r="L166" i="18" s="1"/>
  <c r="G23" i="18"/>
  <c r="H23" i="18"/>
  <c r="I160" i="18" s="1"/>
  <c r="I23" i="18"/>
  <c r="J23" i="18"/>
  <c r="K160" i="18" s="1"/>
  <c r="K23" i="18"/>
  <c r="G160" i="18"/>
  <c r="G46" i="17"/>
  <c r="H46" i="17"/>
  <c r="I46" i="17"/>
  <c r="F42" i="19" l="1"/>
  <c r="N31" i="19"/>
  <c r="X64" i="19"/>
  <c r="T79" i="19"/>
  <c r="U79" i="19" s="1"/>
  <c r="V79" i="19" s="1"/>
  <c r="T82" i="19"/>
  <c r="U82" i="19" s="1"/>
  <c r="V82" i="19" s="1"/>
  <c r="T83" i="19"/>
  <c r="U83" i="19" s="1"/>
  <c r="V83" i="19" s="1"/>
  <c r="P75" i="15"/>
  <c r="H45" i="18"/>
  <c r="G45" i="18"/>
  <c r="J170" i="18"/>
  <c r="J45" i="18"/>
  <c r="I170" i="18"/>
  <c r="K31" i="18"/>
  <c r="G31" i="18"/>
  <c r="I31" i="18"/>
  <c r="J160" i="18"/>
  <c r="L160" i="18"/>
  <c r="H160" i="18"/>
  <c r="J5" i="18"/>
  <c r="J6" i="18"/>
  <c r="J49" i="18" s="1"/>
  <c r="J7" i="18"/>
  <c r="J8" i="18"/>
  <c r="J9" i="18"/>
  <c r="J10" i="18"/>
  <c r="J4" i="18"/>
  <c r="I5" i="18"/>
  <c r="I6" i="18"/>
  <c r="I7" i="18"/>
  <c r="I8" i="18"/>
  <c r="I9" i="18"/>
  <c r="I10" i="18"/>
  <c r="I4" i="18"/>
  <c r="H11" i="18"/>
  <c r="K11" i="18"/>
  <c r="G5" i="18"/>
  <c r="G6" i="18"/>
  <c r="G7" i="18"/>
  <c r="G8" i="18"/>
  <c r="G9" i="18"/>
  <c r="G10" i="18"/>
  <c r="G4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AE147" i="18" s="1"/>
  <c r="P147" i="18"/>
  <c r="O147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AE142" i="18" s="1"/>
  <c r="Q142" i="18"/>
  <c r="P142" i="18"/>
  <c r="O142" i="18"/>
  <c r="K130" i="18"/>
  <c r="J128" i="18"/>
  <c r="I130" i="18" s="1"/>
  <c r="J130" i="18" s="1"/>
  <c r="I124" i="18"/>
  <c r="F118" i="18"/>
  <c r="I115" i="18"/>
  <c r="F117" i="18" s="1"/>
  <c r="O110" i="18"/>
  <c r="N110" i="18"/>
  <c r="P103" i="18"/>
  <c r="P102" i="18"/>
  <c r="P99" i="18"/>
  <c r="P98" i="18"/>
  <c r="T81" i="18"/>
  <c r="S81" i="18"/>
  <c r="R81" i="18"/>
  <c r="T80" i="18"/>
  <c r="S80" i="18"/>
  <c r="R80" i="18"/>
  <c r="T79" i="18"/>
  <c r="S79" i="18"/>
  <c r="R79" i="18"/>
  <c r="T78" i="18"/>
  <c r="S78" i="18"/>
  <c r="R78" i="18"/>
  <c r="T77" i="18"/>
  <c r="S77" i="18"/>
  <c r="R77" i="18"/>
  <c r="T76" i="18"/>
  <c r="S76" i="18"/>
  <c r="R76" i="18"/>
  <c r="K76" i="18"/>
  <c r="J76" i="18"/>
  <c r="I76" i="18"/>
  <c r="F76" i="18"/>
  <c r="T75" i="18"/>
  <c r="S75" i="18"/>
  <c r="R75" i="18"/>
  <c r="T74" i="18"/>
  <c r="T82" i="18" s="1"/>
  <c r="S74" i="18"/>
  <c r="R74" i="18"/>
  <c r="R82" i="18" s="1"/>
  <c r="T73" i="18"/>
  <c r="S73" i="18"/>
  <c r="R73" i="18"/>
  <c r="P73" i="18"/>
  <c r="P72" i="18"/>
  <c r="X60" i="18"/>
  <c r="X62" i="18" s="1"/>
  <c r="T60" i="18"/>
  <c r="S60" i="18"/>
  <c r="R60" i="18"/>
  <c r="K49" i="18"/>
  <c r="F49" i="18"/>
  <c r="K78" i="18"/>
  <c r="J77" i="18"/>
  <c r="I78" i="18"/>
  <c r="K19" i="18"/>
  <c r="J19" i="18"/>
  <c r="I19" i="18"/>
  <c r="F19" i="18"/>
  <c r="F11" i="18"/>
  <c r="G5" i="17"/>
  <c r="G6" i="17"/>
  <c r="F25" i="17" s="1"/>
  <c r="G162" i="17" s="1"/>
  <c r="G7" i="17"/>
  <c r="F26" i="17" s="1"/>
  <c r="G163" i="17" s="1"/>
  <c r="G8" i="17"/>
  <c r="F27" i="17" s="1"/>
  <c r="G164" i="17" s="1"/>
  <c r="G9" i="17"/>
  <c r="G10" i="17"/>
  <c r="F29" i="17" s="1"/>
  <c r="G166" i="17" s="1"/>
  <c r="G4" i="17"/>
  <c r="F19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AD142" i="17" s="1"/>
  <c r="I130" i="17"/>
  <c r="H128" i="17"/>
  <c r="G130" i="17" s="1"/>
  <c r="H130" i="17" s="1"/>
  <c r="G124" i="17"/>
  <c r="F118" i="17"/>
  <c r="G115" i="17"/>
  <c r="F117" i="17" s="1"/>
  <c r="L110" i="17"/>
  <c r="N102" i="17"/>
  <c r="N99" i="17"/>
  <c r="N98" i="17"/>
  <c r="R81" i="17"/>
  <c r="Q81" i="17"/>
  <c r="P81" i="17"/>
  <c r="R80" i="17"/>
  <c r="Q80" i="17"/>
  <c r="P80" i="17"/>
  <c r="R79" i="17"/>
  <c r="Q79" i="17"/>
  <c r="P79" i="17"/>
  <c r="R78" i="17"/>
  <c r="Q78" i="17"/>
  <c r="P78" i="17"/>
  <c r="R77" i="17"/>
  <c r="Q77" i="17"/>
  <c r="P77" i="17"/>
  <c r="R76" i="17"/>
  <c r="Q76" i="17"/>
  <c r="P76" i="17"/>
  <c r="I76" i="17"/>
  <c r="H76" i="17"/>
  <c r="G76" i="17"/>
  <c r="F76" i="17"/>
  <c r="R75" i="17"/>
  <c r="Q75" i="17"/>
  <c r="P75" i="17"/>
  <c r="R74" i="17"/>
  <c r="Q74" i="17"/>
  <c r="P74" i="17"/>
  <c r="R73" i="17"/>
  <c r="Q73" i="17"/>
  <c r="P73" i="17"/>
  <c r="N72" i="17"/>
  <c r="R60" i="17"/>
  <c r="Q60" i="17"/>
  <c r="P60" i="17"/>
  <c r="I49" i="17"/>
  <c r="H49" i="17"/>
  <c r="F49" i="17"/>
  <c r="I38" i="17"/>
  <c r="J174" i="17" s="1"/>
  <c r="H38" i="17"/>
  <c r="G38" i="17"/>
  <c r="F38" i="17"/>
  <c r="G174" i="17" s="1"/>
  <c r="I37" i="17"/>
  <c r="H37" i="17"/>
  <c r="I173" i="17" s="1"/>
  <c r="G37" i="17"/>
  <c r="F37" i="17"/>
  <c r="G173" i="17" s="1"/>
  <c r="I36" i="17"/>
  <c r="H36" i="17"/>
  <c r="I172" i="17" s="1"/>
  <c r="G36" i="17"/>
  <c r="H172" i="17" s="1"/>
  <c r="F36" i="17"/>
  <c r="I35" i="17"/>
  <c r="H35" i="17"/>
  <c r="I171" i="17" s="1"/>
  <c r="G35" i="17"/>
  <c r="F35" i="17"/>
  <c r="G171" i="17" s="1"/>
  <c r="I34" i="17"/>
  <c r="H34" i="17"/>
  <c r="G34" i="17"/>
  <c r="G170" i="17"/>
  <c r="I29" i="17"/>
  <c r="G29" i="17"/>
  <c r="H166" i="17" s="1"/>
  <c r="I28" i="17"/>
  <c r="J165" i="17" s="1"/>
  <c r="H28" i="17"/>
  <c r="I165" i="17" s="1"/>
  <c r="G28" i="17"/>
  <c r="H165" i="17" s="1"/>
  <c r="F28" i="17"/>
  <c r="G165" i="17" s="1"/>
  <c r="G27" i="17"/>
  <c r="H26" i="17"/>
  <c r="I163" i="17" s="1"/>
  <c r="G26" i="17"/>
  <c r="H163" i="17" s="1"/>
  <c r="I24" i="17"/>
  <c r="J161" i="17" s="1"/>
  <c r="H24" i="17"/>
  <c r="I161" i="17" s="1"/>
  <c r="G24" i="17"/>
  <c r="H161" i="17" s="1"/>
  <c r="F24" i="17"/>
  <c r="G161" i="17" s="1"/>
  <c r="I19" i="17"/>
  <c r="H19" i="17"/>
  <c r="G19" i="17"/>
  <c r="I11" i="17"/>
  <c r="H11" i="17"/>
  <c r="F11" i="17"/>
  <c r="G175" i="12"/>
  <c r="H175" i="12"/>
  <c r="I175" i="12"/>
  <c r="J175" i="12"/>
  <c r="G176" i="12"/>
  <c r="H176" i="12"/>
  <c r="I176" i="12"/>
  <c r="J176" i="12"/>
  <c r="G177" i="12"/>
  <c r="H177" i="12"/>
  <c r="I177" i="12"/>
  <c r="J177" i="12"/>
  <c r="G178" i="12"/>
  <c r="H178" i="12"/>
  <c r="I178" i="12"/>
  <c r="J178" i="12"/>
  <c r="G179" i="12"/>
  <c r="H179" i="12"/>
  <c r="I179" i="12"/>
  <c r="J179" i="12"/>
  <c r="G180" i="12"/>
  <c r="H180" i="12"/>
  <c r="I180" i="12"/>
  <c r="J180" i="12"/>
  <c r="G181" i="12"/>
  <c r="H181" i="12"/>
  <c r="I181" i="12"/>
  <c r="J181" i="12"/>
  <c r="G182" i="12"/>
  <c r="H182" i="12"/>
  <c r="I182" i="12"/>
  <c r="J182" i="12"/>
  <c r="H174" i="12"/>
  <c r="I174" i="12"/>
  <c r="J174" i="12"/>
  <c r="G174" i="12"/>
  <c r="G167" i="12"/>
  <c r="H167" i="12"/>
  <c r="I167" i="12"/>
  <c r="J167" i="12"/>
  <c r="H29" i="17" l="1"/>
  <c r="I166" i="17" s="1"/>
  <c r="G25" i="17"/>
  <c r="H25" i="17"/>
  <c r="I162" i="17" s="1"/>
  <c r="I25" i="17"/>
  <c r="J162" i="17" s="1"/>
  <c r="G11" i="18"/>
  <c r="J11" i="18"/>
  <c r="K77" i="18"/>
  <c r="N76" i="18"/>
  <c r="I11" i="18"/>
  <c r="F31" i="18"/>
  <c r="K50" i="18"/>
  <c r="L170" i="18"/>
  <c r="F77" i="18"/>
  <c r="F78" i="18"/>
  <c r="F45" i="18"/>
  <c r="S82" i="18"/>
  <c r="AF142" i="18"/>
  <c r="AF147" i="18"/>
  <c r="I49" i="18"/>
  <c r="J78" i="18"/>
  <c r="I77" i="18"/>
  <c r="H27" i="17"/>
  <c r="I164" i="17" s="1"/>
  <c r="G49" i="17"/>
  <c r="L49" i="17" s="1"/>
  <c r="I26" i="17"/>
  <c r="J163" i="17" s="1"/>
  <c r="I27" i="17"/>
  <c r="G11" i="17"/>
  <c r="H23" i="17"/>
  <c r="I23" i="17"/>
  <c r="F23" i="17"/>
  <c r="G23" i="17"/>
  <c r="G31" i="17" s="1"/>
  <c r="AC147" i="17"/>
  <c r="G160" i="17"/>
  <c r="P82" i="17"/>
  <c r="R82" i="17"/>
  <c r="AD147" i="17"/>
  <c r="H162" i="17"/>
  <c r="J164" i="17"/>
  <c r="J166" i="17"/>
  <c r="H170" i="17"/>
  <c r="H171" i="17"/>
  <c r="H173" i="17"/>
  <c r="H174" i="17"/>
  <c r="V60" i="17"/>
  <c r="V62" i="17" s="1"/>
  <c r="H164" i="17"/>
  <c r="J170" i="17"/>
  <c r="I78" i="17"/>
  <c r="I77" i="17"/>
  <c r="J171" i="17"/>
  <c r="J172" i="17"/>
  <c r="J173" i="17"/>
  <c r="Q82" i="17"/>
  <c r="G77" i="17"/>
  <c r="G78" i="17"/>
  <c r="H77" i="17"/>
  <c r="H78" i="17"/>
  <c r="AC142" i="17"/>
  <c r="I170" i="17"/>
  <c r="G172" i="17"/>
  <c r="I174" i="17"/>
  <c r="L76" i="17"/>
  <c r="F77" i="17"/>
  <c r="F78" i="17"/>
  <c r="K51" i="18" l="1"/>
  <c r="I50" i="17"/>
  <c r="H50" i="17"/>
  <c r="H51" i="17"/>
  <c r="H52" i="17" s="1"/>
  <c r="I51" i="17"/>
  <c r="I52" i="17" s="1"/>
  <c r="H160" i="17"/>
  <c r="J160" i="17"/>
  <c r="I31" i="17"/>
  <c r="G50" i="17"/>
  <c r="G51" i="17"/>
  <c r="G52" i="17" s="1"/>
  <c r="F51" i="18"/>
  <c r="F50" i="18"/>
  <c r="K52" i="18"/>
  <c r="N78" i="18"/>
  <c r="F83" i="18" s="1"/>
  <c r="F52" i="18"/>
  <c r="I51" i="18"/>
  <c r="I52" i="18" s="1"/>
  <c r="I50" i="18"/>
  <c r="N77" i="18"/>
  <c r="J50" i="18"/>
  <c r="J51" i="18"/>
  <c r="N49" i="18"/>
  <c r="F51" i="17"/>
  <c r="F50" i="17"/>
  <c r="H31" i="17"/>
  <c r="I160" i="17"/>
  <c r="L77" i="17"/>
  <c r="L78" i="17"/>
  <c r="F83" i="17" s="1"/>
  <c r="N102" i="12"/>
  <c r="N103" i="12"/>
  <c r="L114" i="12"/>
  <c r="L106" i="12"/>
  <c r="L104" i="12"/>
  <c r="M87" i="12"/>
  <c r="N77" i="12"/>
  <c r="N76" i="12"/>
  <c r="L101" i="12"/>
  <c r="L99" i="12"/>
  <c r="L95" i="12"/>
  <c r="L96" i="12"/>
  <c r="L97" i="12"/>
  <c r="L98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0" i="12"/>
  <c r="F87" i="12"/>
  <c r="F82" i="12"/>
  <c r="F81" i="12"/>
  <c r="L80" i="12"/>
  <c r="G49" i="12"/>
  <c r="H49" i="12"/>
  <c r="I49" i="12"/>
  <c r="F49" i="12"/>
  <c r="G82" i="12"/>
  <c r="H82" i="12"/>
  <c r="I82" i="12"/>
  <c r="G81" i="12"/>
  <c r="H81" i="12"/>
  <c r="I81" i="12"/>
  <c r="F80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G38" i="12"/>
  <c r="H38" i="12"/>
  <c r="I38" i="12"/>
  <c r="F38" i="12"/>
  <c r="N51" i="18" l="1"/>
  <c r="F63" i="18" s="1"/>
  <c r="N50" i="18"/>
  <c r="L51" i="17"/>
  <c r="F55" i="17" s="1"/>
  <c r="L50" i="17"/>
  <c r="F52" i="17"/>
  <c r="L52" i="17" s="1"/>
  <c r="F62" i="18"/>
  <c r="K94" i="18"/>
  <c r="F93" i="18"/>
  <c r="I92" i="18"/>
  <c r="J91" i="18"/>
  <c r="J94" i="18"/>
  <c r="K93" i="18"/>
  <c r="F92" i="18"/>
  <c r="I91" i="18"/>
  <c r="I87" i="18"/>
  <c r="J93" i="18"/>
  <c r="I90" i="18"/>
  <c r="I93" i="18"/>
  <c r="K91" i="18"/>
  <c r="J88" i="18"/>
  <c r="I94" i="18"/>
  <c r="K92" i="18"/>
  <c r="F91" i="18"/>
  <c r="J89" i="18"/>
  <c r="I86" i="18"/>
  <c r="F94" i="18"/>
  <c r="J92" i="18"/>
  <c r="F86" i="18"/>
  <c r="I89" i="18"/>
  <c r="K89" i="18"/>
  <c r="F87" i="18"/>
  <c r="F89" i="18"/>
  <c r="J90" i="18"/>
  <c r="K90" i="18"/>
  <c r="K86" i="18"/>
  <c r="K88" i="18"/>
  <c r="F88" i="18"/>
  <c r="F90" i="18"/>
  <c r="K83" i="18"/>
  <c r="J86" i="18"/>
  <c r="I83" i="18"/>
  <c r="J83" i="18"/>
  <c r="K87" i="18"/>
  <c r="I88" i="18"/>
  <c r="J87" i="18"/>
  <c r="J52" i="18"/>
  <c r="N52" i="18" s="1"/>
  <c r="I60" i="18"/>
  <c r="F61" i="18"/>
  <c r="H83" i="17"/>
  <c r="G83" i="17"/>
  <c r="L83" i="17" s="1"/>
  <c r="H93" i="17"/>
  <c r="F91" i="17"/>
  <c r="H89" i="17"/>
  <c r="F87" i="17"/>
  <c r="F93" i="17"/>
  <c r="F89" i="17"/>
  <c r="H91" i="17"/>
  <c r="H87" i="17"/>
  <c r="G89" i="17"/>
  <c r="H90" i="17"/>
  <c r="I89" i="17"/>
  <c r="F86" i="17"/>
  <c r="G87" i="17"/>
  <c r="G90" i="17"/>
  <c r="I90" i="17"/>
  <c r="H94" i="17"/>
  <c r="G88" i="17"/>
  <c r="I87" i="17"/>
  <c r="I92" i="17"/>
  <c r="F88" i="17"/>
  <c r="I86" i="17"/>
  <c r="H88" i="17"/>
  <c r="G93" i="17"/>
  <c r="I94" i="17"/>
  <c r="I88" i="17"/>
  <c r="F92" i="17"/>
  <c r="I83" i="17"/>
  <c r="F90" i="17"/>
  <c r="L90" i="17" s="1"/>
  <c r="G86" i="17"/>
  <c r="G91" i="17"/>
  <c r="G94" i="17"/>
  <c r="H86" i="17"/>
  <c r="I91" i="17"/>
  <c r="I93" i="17"/>
  <c r="G92" i="17"/>
  <c r="F94" i="17"/>
  <c r="L94" i="17" s="1"/>
  <c r="H92" i="17"/>
  <c r="F57" i="17"/>
  <c r="F61" i="17"/>
  <c r="F59" i="17"/>
  <c r="G57" i="17"/>
  <c r="G58" i="17"/>
  <c r="H60" i="17"/>
  <c r="F60" i="17"/>
  <c r="G63" i="17"/>
  <c r="H55" i="17"/>
  <c r="I60" i="17"/>
  <c r="F63" i="17"/>
  <c r="I57" i="17"/>
  <c r="I62" i="17"/>
  <c r="G61" i="17"/>
  <c r="F58" i="17"/>
  <c r="H58" i="17"/>
  <c r="H62" i="17"/>
  <c r="I55" i="17"/>
  <c r="H23" i="12"/>
  <c r="G23" i="12"/>
  <c r="F23" i="12"/>
  <c r="J57" i="18" l="1"/>
  <c r="F58" i="18"/>
  <c r="J55" i="18"/>
  <c r="J62" i="18"/>
  <c r="I62" i="18"/>
  <c r="N62" i="18" s="1"/>
  <c r="F55" i="18"/>
  <c r="J63" i="18"/>
  <c r="K60" i="18"/>
  <c r="K57" i="18"/>
  <c r="K58" i="18"/>
  <c r="I57" i="18"/>
  <c r="I59" i="18"/>
  <c r="J60" i="18"/>
  <c r="J59" i="18"/>
  <c r="J61" i="18"/>
  <c r="F57" i="18"/>
  <c r="I61" i="18"/>
  <c r="J58" i="18"/>
  <c r="F59" i="18"/>
  <c r="I63" i="18"/>
  <c r="N63" i="18" s="1"/>
  <c r="K62" i="18"/>
  <c r="F60" i="18"/>
  <c r="K63" i="18"/>
  <c r="K59" i="18"/>
  <c r="K61" i="18"/>
  <c r="I55" i="18"/>
  <c r="K55" i="18"/>
  <c r="I58" i="18"/>
  <c r="I59" i="17"/>
  <c r="I63" i="17"/>
  <c r="L63" i="17" s="1"/>
  <c r="G62" i="17"/>
  <c r="I61" i="17"/>
  <c r="H59" i="17"/>
  <c r="G55" i="17"/>
  <c r="G60" i="17"/>
  <c r="I58" i="17"/>
  <c r="L58" i="17" s="1"/>
  <c r="F62" i="17"/>
  <c r="G59" i="17"/>
  <c r="L59" i="17" s="1"/>
  <c r="H63" i="17"/>
  <c r="H57" i="17"/>
  <c r="L57" i="17" s="1"/>
  <c r="H61" i="17"/>
  <c r="N88" i="18"/>
  <c r="N91" i="18"/>
  <c r="N83" i="18"/>
  <c r="O83" i="18" s="1"/>
  <c r="N90" i="18"/>
  <c r="N87" i="18"/>
  <c r="N94" i="18"/>
  <c r="N92" i="18"/>
  <c r="N89" i="18"/>
  <c r="N86" i="18"/>
  <c r="N93" i="18"/>
  <c r="L55" i="17"/>
  <c r="L93" i="17"/>
  <c r="L62" i="17"/>
  <c r="L60" i="17"/>
  <c r="L92" i="17"/>
  <c r="L89" i="17"/>
  <c r="L91" i="17"/>
  <c r="M83" i="17"/>
  <c r="L88" i="17"/>
  <c r="L86" i="17"/>
  <c r="L87" i="17"/>
  <c r="F32" i="12"/>
  <c r="G169" i="12" s="1"/>
  <c r="H33" i="12"/>
  <c r="I170" i="12" s="1"/>
  <c r="H31" i="12"/>
  <c r="I168" i="12" s="1"/>
  <c r="F28" i="12"/>
  <c r="G165" i="12" s="1"/>
  <c r="G28" i="12"/>
  <c r="H165" i="12" s="1"/>
  <c r="H28" i="12"/>
  <c r="I165" i="12" s="1"/>
  <c r="I28" i="12"/>
  <c r="J165" i="12" s="1"/>
  <c r="F29" i="12"/>
  <c r="G166" i="12" s="1"/>
  <c r="G29" i="12"/>
  <c r="H166" i="12" s="1"/>
  <c r="H29" i="12"/>
  <c r="I166" i="12" s="1"/>
  <c r="I29" i="12"/>
  <c r="J166" i="12" s="1"/>
  <c r="F30" i="12"/>
  <c r="G30" i="12"/>
  <c r="H30" i="12"/>
  <c r="I30" i="12"/>
  <c r="F31" i="12"/>
  <c r="G168" i="12" s="1"/>
  <c r="G31" i="12"/>
  <c r="H168" i="12" s="1"/>
  <c r="I31" i="12"/>
  <c r="J168" i="12" s="1"/>
  <c r="G32" i="12"/>
  <c r="H169" i="12" s="1"/>
  <c r="H32" i="12"/>
  <c r="I169" i="12" s="1"/>
  <c r="I32" i="12"/>
  <c r="J169" i="12" s="1"/>
  <c r="F33" i="12"/>
  <c r="G170" i="12" s="1"/>
  <c r="G33" i="12"/>
  <c r="H170" i="12" s="1"/>
  <c r="I33" i="12"/>
  <c r="J170" i="12" s="1"/>
  <c r="G27" i="12"/>
  <c r="H27" i="12"/>
  <c r="I27" i="12"/>
  <c r="F27" i="12"/>
  <c r="I23" i="12"/>
  <c r="I11" i="12"/>
  <c r="N58" i="18" l="1"/>
  <c r="N57" i="18"/>
  <c r="N60" i="18"/>
  <c r="P64" i="18"/>
  <c r="N61" i="18"/>
  <c r="N55" i="18"/>
  <c r="N59" i="18"/>
  <c r="L61" i="17"/>
  <c r="N64" i="17"/>
  <c r="N95" i="18"/>
  <c r="N97" i="18" s="1"/>
  <c r="N98" i="18" s="1"/>
  <c r="N99" i="18" s="1"/>
  <c r="N102" i="18" s="1"/>
  <c r="H164" i="12"/>
  <c r="G55" i="12"/>
  <c r="G54" i="12"/>
  <c r="J164" i="12"/>
  <c r="I55" i="12"/>
  <c r="I54" i="12"/>
  <c r="I164" i="12"/>
  <c r="H55" i="12"/>
  <c r="H54" i="12"/>
  <c r="G164" i="12"/>
  <c r="F55" i="12"/>
  <c r="F54" i="12"/>
  <c r="L95" i="17"/>
  <c r="L97" i="17" s="1"/>
  <c r="L98" i="17" s="1"/>
  <c r="L65" i="17"/>
  <c r="L67" i="17" s="1"/>
  <c r="L68" i="17" s="1"/>
  <c r="H35" i="12"/>
  <c r="F35" i="12"/>
  <c r="I35" i="12"/>
  <c r="G35" i="12"/>
  <c r="Q82" i="15"/>
  <c r="Q80" i="15"/>
  <c r="Q83" i="15"/>
  <c r="W80" i="15"/>
  <c r="W81" i="15"/>
  <c r="W82" i="15"/>
  <c r="W83" i="15"/>
  <c r="W79" i="15"/>
  <c r="N65" i="18" l="1"/>
  <c r="N67" i="18" s="1"/>
  <c r="N68" i="18" s="1"/>
  <c r="N69" i="18" s="1"/>
  <c r="N72" i="18" s="1"/>
  <c r="P75" i="18" s="1"/>
  <c r="N70" i="18"/>
  <c r="L55" i="12"/>
  <c r="I62" i="12" s="1"/>
  <c r="N100" i="18"/>
  <c r="L54" i="12"/>
  <c r="L70" i="17"/>
  <c r="L72" i="17"/>
  <c r="N75" i="17" s="1"/>
  <c r="L102" i="17"/>
  <c r="L100" i="17"/>
  <c r="Q81" i="15"/>
  <c r="Q79" i="15"/>
  <c r="R93" i="3"/>
  <c r="H65" i="12" l="1"/>
  <c r="H64" i="12"/>
  <c r="F67" i="12"/>
  <c r="G63" i="12"/>
  <c r="F65" i="12"/>
  <c r="G62" i="12"/>
  <c r="I61" i="12"/>
  <c r="I67" i="12"/>
  <c r="G67" i="12"/>
  <c r="I66" i="12"/>
  <c r="I65" i="12"/>
  <c r="G66" i="12"/>
  <c r="I64" i="12"/>
  <c r="G61" i="12"/>
  <c r="F64" i="12"/>
  <c r="H67" i="12"/>
  <c r="H63" i="12"/>
  <c r="G65" i="12"/>
  <c r="F66" i="12"/>
  <c r="I63" i="12"/>
  <c r="H61" i="12"/>
  <c r="F62" i="12"/>
  <c r="H66" i="12"/>
  <c r="H62" i="12"/>
  <c r="G64" i="12"/>
  <c r="F63" i="12"/>
  <c r="X68" i="15"/>
  <c r="X67" i="15"/>
  <c r="T81" i="15"/>
  <c r="T80" i="15"/>
  <c r="T79" i="15"/>
  <c r="P79" i="12"/>
  <c r="Q79" i="12"/>
  <c r="R79" i="12"/>
  <c r="P80" i="12"/>
  <c r="Q80" i="12"/>
  <c r="R80" i="12"/>
  <c r="P81" i="12"/>
  <c r="Q81" i="12"/>
  <c r="R81" i="12"/>
  <c r="P82" i="12"/>
  <c r="Q82" i="12"/>
  <c r="R82" i="12"/>
  <c r="P83" i="12"/>
  <c r="Q83" i="12"/>
  <c r="R83" i="12"/>
  <c r="P84" i="12"/>
  <c r="Q84" i="12"/>
  <c r="R84" i="12"/>
  <c r="P85" i="12"/>
  <c r="Q85" i="12"/>
  <c r="R85" i="12"/>
  <c r="Q78" i="12"/>
  <c r="R78" i="12"/>
  <c r="P78" i="12"/>
  <c r="R77" i="12"/>
  <c r="Q77" i="12"/>
  <c r="P77" i="12"/>
  <c r="E12" i="15"/>
  <c r="K62" i="15" s="1"/>
  <c r="F12" i="15"/>
  <c r="L62" i="15" s="1"/>
  <c r="G12" i="15"/>
  <c r="M62" i="15" s="1"/>
  <c r="N80" i="15" s="1"/>
  <c r="H12" i="15"/>
  <c r="N62" i="15" s="1"/>
  <c r="M93" i="3"/>
  <c r="Q61" i="3"/>
  <c r="M95" i="3"/>
  <c r="M94" i="3"/>
  <c r="H81" i="3"/>
  <c r="H80" i="3"/>
  <c r="H79" i="3"/>
  <c r="Q57" i="3"/>
  <c r="P57" i="3"/>
  <c r="Q42" i="3"/>
  <c r="Q151" i="12"/>
  <c r="W151" i="12"/>
  <c r="AA146" i="12"/>
  <c r="Z146" i="12"/>
  <c r="Y146" i="12"/>
  <c r="T151" i="12"/>
  <c r="S151" i="12"/>
  <c r="R151" i="12"/>
  <c r="N151" i="12"/>
  <c r="M151" i="12"/>
  <c r="V151" i="12"/>
  <c r="T146" i="12"/>
  <c r="AA151" i="12"/>
  <c r="Z151" i="12"/>
  <c r="Y151" i="12"/>
  <c r="X151" i="12"/>
  <c r="X146" i="12"/>
  <c r="W146" i="12"/>
  <c r="V146" i="12"/>
  <c r="U151" i="12"/>
  <c r="U146" i="12"/>
  <c r="S146" i="12"/>
  <c r="R146" i="12"/>
  <c r="P151" i="12"/>
  <c r="O151" i="12"/>
  <c r="Q146" i="12"/>
  <c r="P146" i="12"/>
  <c r="O146" i="12"/>
  <c r="N146" i="12"/>
  <c r="M146" i="12"/>
  <c r="M66" i="15" l="1"/>
  <c r="N81" i="15" s="1"/>
  <c r="AC151" i="12"/>
  <c r="AD146" i="12"/>
  <c r="AD151" i="12"/>
  <c r="T82" i="15"/>
  <c r="AC146" i="12"/>
  <c r="T83" i="15"/>
  <c r="P66" i="15"/>
  <c r="P65" i="15"/>
  <c r="P64" i="15"/>
  <c r="N77" i="15"/>
  <c r="X65" i="15"/>
  <c r="X66" i="15"/>
  <c r="P86" i="12"/>
  <c r="Q86" i="12"/>
  <c r="R86" i="12"/>
  <c r="E18" i="15"/>
  <c r="E17" i="15"/>
  <c r="F122" i="12"/>
  <c r="Q64" i="12"/>
  <c r="R64" i="12"/>
  <c r="P64" i="12"/>
  <c r="O81" i="15" l="1"/>
  <c r="P81" i="15" s="1"/>
  <c r="N82" i="15"/>
  <c r="O82" i="15" s="1"/>
  <c r="P82" i="15" s="1"/>
  <c r="N79" i="15"/>
  <c r="O79" i="15" s="1"/>
  <c r="P79" i="15" s="1"/>
  <c r="V64" i="12"/>
  <c r="V66" i="12" s="1"/>
  <c r="O80" i="15"/>
  <c r="P80" i="15" s="1"/>
  <c r="G19" i="15"/>
  <c r="F31" i="15" s="1"/>
  <c r="I134" i="12"/>
  <c r="G119" i="12"/>
  <c r="F121" i="12" s="1"/>
  <c r="H132" i="12"/>
  <c r="G134" i="12" s="1"/>
  <c r="H134" i="12" s="1"/>
  <c r="G128" i="12"/>
  <c r="N106" i="12"/>
  <c r="P68" i="15" l="1"/>
  <c r="N83" i="15"/>
  <c r="O83" i="15" s="1"/>
  <c r="P83" i="15" s="1"/>
  <c r="G80" i="12"/>
  <c r="H80" i="12"/>
  <c r="I80" i="12"/>
  <c r="L175" i="12"/>
  <c r="L176" i="12"/>
  <c r="L177" i="12"/>
  <c r="L178" i="12"/>
  <c r="L165" i="12"/>
  <c r="L166" i="12"/>
  <c r="L168" i="12"/>
  <c r="L169" i="12"/>
  <c r="L170" i="12"/>
  <c r="L164" i="12"/>
  <c r="L174" i="12" l="1"/>
  <c r="L167" i="12"/>
  <c r="F53" i="12" l="1"/>
  <c r="G53" i="12"/>
  <c r="H53" i="12"/>
  <c r="I53" i="12"/>
  <c r="H11" i="12"/>
  <c r="G11" i="12"/>
  <c r="F11" i="12"/>
  <c r="L53" i="12" l="1"/>
  <c r="H56" i="12"/>
  <c r="I56" i="12"/>
  <c r="G56" i="12"/>
  <c r="F56" i="12"/>
  <c r="L56" i="12" l="1"/>
  <c r="L81" i="12"/>
  <c r="L82" i="12"/>
  <c r="F59" i="12" l="1"/>
  <c r="G90" i="12"/>
  <c r="F61" i="12"/>
  <c r="G59" i="12"/>
  <c r="I90" i="12"/>
  <c r="H90" i="12"/>
  <c r="F94" i="12"/>
  <c r="F93" i="12"/>
  <c r="F92" i="12"/>
  <c r="I91" i="12"/>
  <c r="H94" i="12"/>
  <c r="H92" i="12"/>
  <c r="G91" i="12"/>
  <c r="I94" i="12"/>
  <c r="I93" i="12"/>
  <c r="I92" i="12"/>
  <c r="H91" i="12"/>
  <c r="F91" i="12"/>
  <c r="H93" i="12"/>
  <c r="G94" i="12"/>
  <c r="G93" i="12"/>
  <c r="G92" i="12"/>
  <c r="I87" i="12"/>
  <c r="G87" i="12"/>
  <c r="H87" i="12"/>
  <c r="H59" i="12"/>
  <c r="I59" i="12"/>
  <c r="L59" i="12" l="1"/>
  <c r="L61" i="12"/>
  <c r="N68" i="12"/>
  <c r="L94" i="12"/>
  <c r="L63" i="12"/>
  <c r="L67" i="12"/>
  <c r="L90" i="12"/>
  <c r="L92" i="12"/>
  <c r="L91" i="12"/>
  <c r="L64" i="12"/>
  <c r="L65" i="12"/>
  <c r="L93" i="12"/>
  <c r="L62" i="12"/>
  <c r="L66" i="12"/>
  <c r="L87" i="12"/>
  <c r="M98" i="3"/>
  <c r="M99" i="3"/>
  <c r="M97" i="3"/>
  <c r="L69" i="12" l="1"/>
  <c r="L71" i="12" s="1"/>
  <c r="L72" i="12" s="1"/>
  <c r="L74" i="12" s="1"/>
  <c r="L102" i="12"/>
  <c r="L76" i="12" l="1"/>
  <c r="N79" i="12" s="1"/>
  <c r="M24" i="3" l="1"/>
  <c r="M27" i="3" l="1"/>
  <c r="I79" i="3"/>
  <c r="K79" i="3" s="1"/>
  <c r="M28" i="3"/>
  <c r="J71" i="3"/>
  <c r="N93" i="3"/>
  <c r="I81" i="3"/>
  <c r="K81" i="3" s="1"/>
  <c r="J57" i="3"/>
  <c r="I63" i="3" s="1"/>
  <c r="K91" i="3"/>
  <c r="I80" i="3"/>
  <c r="K80" i="3" s="1"/>
  <c r="N94" i="3"/>
  <c r="J46" i="3"/>
  <c r="I52" i="3" s="1"/>
  <c r="N99" i="3"/>
  <c r="N95" i="3"/>
  <c r="N97" i="3"/>
  <c r="N98" i="3"/>
  <c r="G18" i="3" l="1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G30" i="3"/>
  <c r="H30" i="3"/>
  <c r="I30" i="3"/>
  <c r="J30" i="3"/>
  <c r="H17" i="3"/>
  <c r="I17" i="3"/>
  <c r="J17" i="3"/>
  <c r="G17" i="3"/>
  <c r="I32" i="3" l="1"/>
  <c r="I33" i="3" s="1"/>
  <c r="G32" i="3"/>
  <c r="H32" i="3"/>
  <c r="J32" i="3"/>
  <c r="J33" i="3" s="1"/>
  <c r="K95" i="3" l="1"/>
  <c r="P95" i="3" s="1"/>
  <c r="K93" i="3"/>
  <c r="P93" i="3" s="1"/>
  <c r="H33" i="3"/>
  <c r="K99" i="3"/>
  <c r="L99" i="3" s="1"/>
  <c r="G33" i="3"/>
  <c r="K97" i="3"/>
  <c r="K94" i="3"/>
  <c r="K98" i="3"/>
  <c r="L98" i="3" s="1"/>
  <c r="L93" i="3" l="1"/>
  <c r="L95" i="3"/>
  <c r="L94" i="3"/>
  <c r="P94" i="3"/>
  <c r="M22" i="3"/>
  <c r="N2" i="3"/>
  <c r="N5" i="3" s="1"/>
  <c r="N6" i="3" s="1"/>
  <c r="L97" i="3"/>
  <c r="M26" i="3" l="1"/>
  <c r="M34" i="3" s="1"/>
  <c r="M33" i="3"/>
  <c r="O19" i="15" l="1"/>
  <c r="F42" i="15" s="1"/>
  <c r="X64" i="15"/>
  <c r="T77" i="15"/>
  <c r="N31" i="15" l="1"/>
  <c r="U80" i="15"/>
  <c r="V80" i="15" s="1"/>
  <c r="U79" i="15"/>
  <c r="V79" i="15" s="1"/>
  <c r="U81" i="15"/>
  <c r="V81" i="15" s="1"/>
  <c r="U82" i="15"/>
  <c r="V82" i="15" s="1"/>
  <c r="U83" i="15"/>
  <c r="V83" i="15" s="1"/>
</calcChain>
</file>

<file path=xl/sharedStrings.xml><?xml version="1.0" encoding="utf-8"?>
<sst xmlns="http://schemas.openxmlformats.org/spreadsheetml/2006/main" count="1039" uniqueCount="214">
  <si>
    <t>adult</t>
  </si>
  <si>
    <t>(sample)</t>
  </si>
  <si>
    <t>breast</t>
  </si>
  <si>
    <t>cancer</t>
  </si>
  <si>
    <t>wisconsin</t>
  </si>
  <si>
    <t>cmc</t>
  </si>
  <si>
    <t>ionosphere</t>
  </si>
  <si>
    <t>iris</t>
  </si>
  <si>
    <t>liver</t>
  </si>
  <si>
    <t>disorders</t>
  </si>
  <si>
    <t>lung</t>
  </si>
  <si>
    <t>lymphography</t>
  </si>
  <si>
    <t>mushroom</t>
  </si>
  <si>
    <t>primary</t>
  </si>
  <si>
    <t>tumor</t>
  </si>
  <si>
    <t>rheum</t>
  </si>
  <si>
    <t>voting</t>
  </si>
  <si>
    <t>wine</t>
  </si>
  <si>
    <t>DWM-NB</t>
  </si>
  <si>
    <t>R</t>
  </si>
  <si>
    <t>R2</t>
  </si>
  <si>
    <t>k</t>
  </si>
  <si>
    <t>m</t>
  </si>
  <si>
    <t>p</t>
  </si>
  <si>
    <t>n</t>
  </si>
  <si>
    <t>N</t>
  </si>
  <si>
    <t>K</t>
  </si>
  <si>
    <t>X2F</t>
  </si>
  <si>
    <t>sum R2</t>
  </si>
  <si>
    <t>FF</t>
  </si>
  <si>
    <t>With four algorithms and 14 data sets, FF is distributed according to the F distribution with</t>
  </si>
  <si>
    <t>4−1=3 and (4−1)×(14−1)=39 degrees of freedom. The critical value of F(3,39) for a=0.05</t>
  </si>
  <si>
    <t>is 2.85, so we reject the null-hypothesis.</t>
  </si>
  <si>
    <t>Distributed according to the F-distribution with k−1 and (k−1)(N−1) degrees of freedom</t>
  </si>
  <si>
    <t>DF1</t>
  </si>
  <si>
    <t>DF2</t>
  </si>
  <si>
    <t xml:space="preserve">SE = </t>
  </si>
  <si>
    <t>p-value</t>
  </si>
  <si>
    <t>C4.5+m+cf</t>
  </si>
  <si>
    <t>C4.5+m</t>
  </si>
  <si>
    <t>C4.5+cf</t>
  </si>
  <si>
    <t>C4.5</t>
  </si>
  <si>
    <t>c4.5</t>
  </si>
  <si>
    <t>cf</t>
  </si>
  <si>
    <t>m +cf</t>
  </si>
  <si>
    <t>Holm</t>
  </si>
  <si>
    <t>z</t>
  </si>
  <si>
    <t>Holland</t>
  </si>
  <si>
    <t>RTG_PH</t>
  </si>
  <si>
    <t>RBF_PH</t>
  </si>
  <si>
    <t>Wave_PH</t>
  </si>
  <si>
    <t>LED_PH</t>
  </si>
  <si>
    <t>HyperPlane_PH</t>
  </si>
  <si>
    <t>SEA_PH</t>
  </si>
  <si>
    <t>STAGGER_PH</t>
  </si>
  <si>
    <t>Agrawal_PH</t>
  </si>
  <si>
    <t>HMDD</t>
  </si>
  <si>
    <t>DWM-HT</t>
  </si>
  <si>
    <t>sums</t>
  </si>
  <si>
    <t>means</t>
  </si>
  <si>
    <t xml:space="preserve">Counts </t>
  </si>
  <si>
    <t>All</t>
  </si>
  <si>
    <t xml:space="preserve">n = </t>
  </si>
  <si>
    <t>k=</t>
  </si>
  <si>
    <t>Sse</t>
  </si>
  <si>
    <t>WMA</t>
  </si>
  <si>
    <t xml:space="preserve">Accuracy </t>
  </si>
  <si>
    <t>SCD</t>
  </si>
  <si>
    <t>WMDD(BPX)</t>
  </si>
  <si>
    <t>Stream</t>
  </si>
  <si>
    <t>Stagger Drift , Period = 1</t>
  </si>
  <si>
    <t>Sensor P= 50</t>
  </si>
  <si>
    <t>electric p =1</t>
  </si>
  <si>
    <t>SEA_Drift, Period = 5</t>
  </si>
  <si>
    <t>Airlines p =50</t>
  </si>
  <si>
    <t>Stagger_Drift(P1)</t>
  </si>
  <si>
    <t>SEA_Drift(P5)</t>
  </si>
  <si>
    <t>Electric(P1)</t>
  </si>
  <si>
    <t>Spam(P1)</t>
  </si>
  <si>
    <t>Sensor(P50)</t>
  </si>
  <si>
    <t>MOA-Streams</t>
  </si>
  <si>
    <t>Drift and Real world Streams</t>
  </si>
  <si>
    <t>Sums of Ranks</t>
  </si>
  <si>
    <t>Avg of Ranks</t>
  </si>
  <si>
    <t>For Printing</t>
  </si>
  <si>
    <t>HMDD_Lite (Q)</t>
  </si>
  <si>
    <t xml:space="preserve">Avg </t>
  </si>
  <si>
    <t>Avg</t>
  </si>
  <si>
    <t>Iman</t>
  </si>
  <si>
    <t>x2F</t>
  </si>
  <si>
    <t>P-value Iman</t>
  </si>
  <si>
    <t>Iman Df1</t>
  </si>
  <si>
    <t>Iman Df2</t>
  </si>
  <si>
    <t>alpha</t>
  </si>
  <si>
    <t>critical values 0.05</t>
  </si>
  <si>
    <t>critical values 0.01</t>
  </si>
  <si>
    <t>F-Dist</t>
  </si>
  <si>
    <t>Post Hoc Test</t>
  </si>
  <si>
    <t>CD- Group A</t>
  </si>
  <si>
    <t>CD- Group B</t>
  </si>
  <si>
    <t>q alpha for k =6</t>
  </si>
  <si>
    <t>Pair wise comparasion</t>
  </si>
  <si>
    <t>C.45</t>
  </si>
  <si>
    <t>SE</t>
  </si>
  <si>
    <t>A</t>
  </si>
  <si>
    <t>B</t>
  </si>
  <si>
    <t>C</t>
  </si>
  <si>
    <t>counts</t>
  </si>
  <si>
    <r>
      <t>n=10 [subjects]</t>
    </r>
    <r>
      <rPr>
        <vertAlign val="subscript"/>
        <sz val="11"/>
        <color rgb="FFFFFFFF"/>
        <rFont val="Verdana"/>
        <family val="2"/>
      </rPr>
      <t>T</t>
    </r>
  </si>
  <si>
    <r>
      <t>k</t>
    </r>
    <r>
      <rPr>
        <sz val="11"/>
        <color theme="1"/>
        <rFont val="Verdana"/>
        <family val="2"/>
      </rPr>
      <t>=3 [measures per subject]</t>
    </r>
    <r>
      <rPr>
        <vertAlign val="subscript"/>
        <sz val="11"/>
        <color rgb="FFFFFFFF"/>
        <rFont val="Verdana"/>
        <family val="2"/>
      </rPr>
      <t>T</t>
    </r>
  </si>
  <si>
    <r>
      <t>n</t>
    </r>
    <r>
      <rPr>
        <b/>
        <sz val="11"/>
        <color theme="1"/>
        <rFont val="Verdana"/>
        <family val="2"/>
      </rPr>
      <t>k</t>
    </r>
    <r>
      <rPr>
        <sz val="11"/>
        <color theme="1"/>
        <rFont val="Verdana"/>
        <family val="2"/>
      </rPr>
      <t>=30</t>
    </r>
  </si>
  <si>
    <t>Group A</t>
  </si>
  <si>
    <t>Group B</t>
  </si>
  <si>
    <t>SCD, DWM</t>
  </si>
  <si>
    <t>SCD-WMA</t>
  </si>
  <si>
    <t>SCD - WMDD</t>
  </si>
  <si>
    <t>SCD - HMDD</t>
  </si>
  <si>
    <t>SCD - HMDD_lite</t>
  </si>
  <si>
    <t>DWM</t>
  </si>
  <si>
    <t>1,2</t>
  </si>
  <si>
    <t>1,3</t>
  </si>
  <si>
    <t>1,4</t>
  </si>
  <si>
    <t>1,5</t>
  </si>
  <si>
    <t>1,6</t>
  </si>
  <si>
    <t>2,3</t>
  </si>
  <si>
    <t>2,4</t>
  </si>
  <si>
    <t>2,5</t>
  </si>
  <si>
    <t>2,6</t>
  </si>
  <si>
    <t>3,4</t>
  </si>
  <si>
    <t>3,5</t>
  </si>
  <si>
    <t>3,6</t>
  </si>
  <si>
    <t>4,5</t>
  </si>
  <si>
    <t>4,6</t>
  </si>
  <si>
    <t>5,6</t>
  </si>
  <si>
    <t xml:space="preserve">Max </t>
  </si>
  <si>
    <t>Min</t>
  </si>
  <si>
    <t>DWM-NB-WMA</t>
  </si>
  <si>
    <t>CD</t>
  </si>
  <si>
    <t>q.05</t>
  </si>
  <si>
    <t>q.10</t>
  </si>
  <si>
    <t>Nemenyi</t>
  </si>
  <si>
    <t>Bonferroni</t>
  </si>
  <si>
    <t>Difference between best and worst</t>
  </si>
  <si>
    <t>Step 1</t>
  </si>
  <si>
    <t>STEP 2</t>
  </si>
  <si>
    <t>Difference =</t>
  </si>
  <si>
    <t>Conclusion</t>
  </si>
  <si>
    <t>Results</t>
  </si>
  <si>
    <t>Since the difference between highest and lowest is less than CD</t>
  </si>
  <si>
    <t>Nemenyi test (0.05)</t>
  </si>
  <si>
    <t>Nemenyi test (0.10)</t>
  </si>
  <si>
    <t>Check the differece between highest  and lowest and compare with CD</t>
  </si>
  <si>
    <t>the performance of pure C4.5 is significantly worse than that of C4.5+m and C4.5+m+cf.</t>
  </si>
  <si>
    <t>C4.5 - C4.5+m+cf</t>
  </si>
  <si>
    <t>&gt; CD</t>
  </si>
  <si>
    <t xml:space="preserve">
</t>
  </si>
  <si>
    <t>Bonferroni test (0.05)</t>
  </si>
  <si>
    <t>C4.5 - C4.5+cf</t>
  </si>
  <si>
    <t>C4.5 - m</t>
  </si>
  <si>
    <t>AVG.Ranks</t>
  </si>
  <si>
    <t>Do not reset</t>
  </si>
  <si>
    <t>Drifts</t>
  </si>
  <si>
    <t>GROUP B</t>
  </si>
  <si>
    <t xml:space="preserve">Group B </t>
  </si>
  <si>
    <t>WMDD</t>
  </si>
  <si>
    <t>GROUP A</t>
  </si>
  <si>
    <t>Difference</t>
  </si>
  <si>
    <t>HMDD_LITE</t>
  </si>
  <si>
    <t xml:space="preserve">Control </t>
  </si>
  <si>
    <t>HyperPlane_gd</t>
  </si>
  <si>
    <t>SEA_gradual+sudden</t>
  </si>
  <si>
    <t>SEA_STAGGER_MIXED</t>
  </si>
  <si>
    <t>RRBFDrift</t>
  </si>
  <si>
    <t>WaveForm_PH</t>
  </si>
  <si>
    <t>AVG</t>
  </si>
  <si>
    <t>b=0.5</t>
  </si>
  <si>
    <t>b=0.9</t>
  </si>
  <si>
    <t>Max:10</t>
  </si>
  <si>
    <t>Max:100</t>
  </si>
  <si>
    <t>2,42=82.42</t>
  </si>
  <si>
    <t>spam p =50</t>
  </si>
  <si>
    <t xml:space="preserve">Friedman chi-squared </t>
  </si>
  <si>
    <r>
      <t>F</t>
    </r>
    <r>
      <rPr>
        <sz val="11"/>
        <color theme="1"/>
        <rFont val="Fq"/>
      </rPr>
      <t>(</t>
    </r>
    <r>
      <rPr>
        <sz val="11"/>
        <color theme="1"/>
        <rFont val="Times New Roman"/>
        <family val="1"/>
      </rPr>
      <t>3</t>
    </r>
    <r>
      <rPr>
        <sz val="11"/>
        <color theme="1"/>
        <rFont val="Fx"/>
      </rPr>
      <t>,</t>
    </r>
    <r>
      <rPr>
        <sz val="11"/>
        <color theme="1"/>
        <rFont val="Times New Roman"/>
        <family val="1"/>
      </rPr>
      <t>24</t>
    </r>
    <r>
      <rPr>
        <sz val="11"/>
        <color theme="1"/>
        <rFont val="Fq"/>
      </rPr>
      <t xml:space="preserve">) </t>
    </r>
  </si>
  <si>
    <r>
      <t>F</t>
    </r>
    <r>
      <rPr>
        <sz val="11"/>
        <color theme="1"/>
        <rFont val="Fq"/>
      </rPr>
      <t>(</t>
    </r>
    <r>
      <rPr>
        <sz val="11"/>
        <color theme="1"/>
        <rFont val="Times New Roman"/>
        <family val="1"/>
      </rPr>
      <t>3</t>
    </r>
    <r>
      <rPr>
        <sz val="11"/>
        <color theme="1"/>
        <rFont val="Fx"/>
      </rPr>
      <t>,</t>
    </r>
    <r>
      <rPr>
        <sz val="11"/>
        <color theme="1"/>
        <rFont val="Times New Roman"/>
        <family val="1"/>
      </rPr>
      <t>18</t>
    </r>
    <r>
      <rPr>
        <sz val="11"/>
        <color theme="1"/>
        <rFont val="Fq"/>
      </rPr>
      <t xml:space="preserve">) </t>
    </r>
  </si>
  <si>
    <t>HMDD(lite)-Q</t>
  </si>
  <si>
    <t>HMDD - (A)</t>
  </si>
  <si>
    <t>HMDD (B)</t>
  </si>
  <si>
    <t>HMDD(lite)-P</t>
  </si>
  <si>
    <t>NB</t>
  </si>
  <si>
    <t>HT</t>
  </si>
  <si>
    <t>HDWM (B)</t>
  </si>
  <si>
    <t>HDWM - (A)</t>
  </si>
  <si>
    <t>HDWM(lite)-P</t>
  </si>
  <si>
    <t>RTG</t>
  </si>
  <si>
    <t>RBF</t>
  </si>
  <si>
    <t>Wave</t>
  </si>
  <si>
    <t>LED</t>
  </si>
  <si>
    <t>HP</t>
  </si>
  <si>
    <t>AG</t>
  </si>
  <si>
    <t>DWM-NB  - WMA</t>
  </si>
  <si>
    <t>HMDD_Lite (Q) - DWM-NB</t>
  </si>
  <si>
    <t>HMDD_Lite (Q) - DWM- HT</t>
  </si>
  <si>
    <t>DWM-HT - WMA</t>
  </si>
  <si>
    <t>DWM-NB - DWM-HT</t>
  </si>
  <si>
    <t>DWM-NB - HMDD_Lite (Q)</t>
  </si>
  <si>
    <t>DWM-HT - DWM-NB</t>
  </si>
  <si>
    <t>DWM-HT  -HMDD_Lite (Q)</t>
  </si>
  <si>
    <t>WMA - DWM-NB</t>
  </si>
  <si>
    <t>WMA - DWM-HT</t>
  </si>
  <si>
    <t>WMA - HMDD_Lite (Q)</t>
  </si>
  <si>
    <t>HMDD_Lite (Q) - WMA</t>
  </si>
  <si>
    <t>P - Q</t>
  </si>
  <si>
    <t>P - A</t>
  </si>
  <si>
    <t>P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</si>
</sst>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Fq"/>
    </font>
    <font>
      <sz val="11"/>
      <color theme="1"/>
      <name val="Times New Roman"/>
      <family val="1"/>
    </font>
    <font>
      <sz val="11"/>
      <color theme="1"/>
      <name val="Fx"/>
    </font>
    <font>
      <sz val="12"/>
      <color rgb="FF000000"/>
      <name val="Segoe UI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vertAlign val="subscript"/>
      <sz val="11"/>
      <color rgb="FFFFFFFF"/>
      <name val="Verdan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0" fillId="0" borderId="2" xfId="0" applyFill="1" applyBorder="1"/>
    <xf numFmtId="0" fontId="0" fillId="0" borderId="0" xfId="0" applyAlignment="1">
      <alignment horizontal="center"/>
    </xf>
    <xf numFmtId="167" fontId="0" fillId="0" borderId="0" xfId="0" applyNumberFormat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Font="1" applyBorder="1"/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1" fontId="2" fillId="0" borderId="0" xfId="0" applyNumberFormat="1" applyFont="1"/>
    <xf numFmtId="0" fontId="3" fillId="0" borderId="1" xfId="0" applyFont="1" applyBorder="1" applyAlignment="1"/>
    <xf numFmtId="2" fontId="3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66" fontId="2" fillId="0" borderId="1" xfId="0" applyNumberFormat="1" applyFont="1" applyBorder="1"/>
    <xf numFmtId="2" fontId="5" fillId="0" borderId="1" xfId="0" applyNumberFormat="1" applyFont="1" applyBorder="1"/>
    <xf numFmtId="2" fontId="4" fillId="0" borderId="1" xfId="0" applyNumberFormat="1" applyFont="1" applyBorder="1"/>
    <xf numFmtId="2" fontId="1" fillId="0" borderId="0" xfId="0" applyNumberFormat="1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/>
    <xf numFmtId="1" fontId="8" fillId="0" borderId="1" xfId="0" applyNumberFormat="1" applyFont="1" applyBorder="1"/>
    <xf numFmtId="1" fontId="4" fillId="0" borderId="1" xfId="0" applyNumberFormat="1" applyFont="1" applyBorder="1"/>
    <xf numFmtId="2" fontId="9" fillId="0" borderId="1" xfId="0" applyNumberFormat="1" applyFont="1" applyBorder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/>
    <xf numFmtId="167" fontId="10" fillId="0" borderId="0" xfId="0" applyNumberFormat="1" applyFont="1"/>
    <xf numFmtId="0" fontId="11" fillId="0" borderId="0" xfId="0" applyFont="1"/>
    <xf numFmtId="0" fontId="12" fillId="0" borderId="3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165" fontId="0" fillId="0" borderId="5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7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right" vertical="center" wrapText="1"/>
    </xf>
    <xf numFmtId="0" fontId="17" fillId="0" borderId="9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0" fillId="0" borderId="12" xfId="0" applyBorder="1"/>
    <xf numFmtId="0" fontId="17" fillId="0" borderId="0" xfId="0" applyFont="1" applyFill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/>
    </xf>
    <xf numFmtId="0" fontId="20" fillId="0" borderId="0" xfId="0" applyFont="1"/>
    <xf numFmtId="0" fontId="2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ont="1"/>
    <xf numFmtId="165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0" fillId="0" borderId="0" xfId="0" applyNumberFormat="1" applyBorder="1"/>
    <xf numFmtId="0" fontId="3" fillId="0" borderId="5" xfId="0" applyFont="1" applyBorder="1" applyAlignment="1"/>
    <xf numFmtId="0" fontId="3" fillId="0" borderId="0" xfId="0" applyFont="1" applyBorder="1" applyAlignment="1">
      <alignment vertical="center" wrapText="1"/>
    </xf>
    <xf numFmtId="0" fontId="2" fillId="0" borderId="4" xfId="0" applyFont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6" fillId="0" borderId="1" xfId="0" applyNumberFormat="1" applyFont="1" applyBorder="1"/>
    <xf numFmtId="2" fontId="7" fillId="0" borderId="0" xfId="0" applyNumberFormat="1" applyFont="1"/>
    <xf numFmtId="2" fontId="0" fillId="0" borderId="0" xfId="0" applyNumberFormat="1" applyFont="1"/>
    <xf numFmtId="0" fontId="0" fillId="0" borderId="5" xfId="0" applyFont="1" applyBorder="1" applyAlignment="1"/>
    <xf numFmtId="0" fontId="2" fillId="2" borderId="4" xfId="0" applyFont="1" applyFill="1" applyBorder="1"/>
    <xf numFmtId="2" fontId="3" fillId="0" borderId="5" xfId="0" applyNumberFormat="1" applyFont="1" applyBorder="1"/>
    <xf numFmtId="2" fontId="0" fillId="0" borderId="1" xfId="0" applyNumberFormat="1" applyFont="1" applyBorder="1"/>
    <xf numFmtId="2" fontId="0" fillId="0" borderId="5" xfId="0" applyNumberFormat="1" applyFont="1" applyBorder="1"/>
    <xf numFmtId="2" fontId="3" fillId="0" borderId="0" xfId="0" applyNumberFormat="1" applyFont="1"/>
    <xf numFmtId="0" fontId="0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4" fillId="0" borderId="0" xfId="0" applyNumberFormat="1" applyFont="1" applyBorder="1"/>
    <xf numFmtId="2" fontId="5" fillId="0" borderId="0" xfId="0" applyNumberFormat="1" applyFont="1" applyBorder="1"/>
    <xf numFmtId="166" fontId="2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2" fontId="8" fillId="0" borderId="0" xfId="0" applyNumberFormat="1" applyFont="1" applyBorder="1"/>
    <xf numFmtId="1" fontId="0" fillId="0" borderId="0" xfId="0" applyNumberFormat="1" applyBorder="1"/>
    <xf numFmtId="2" fontId="9" fillId="0" borderId="0" xfId="0" applyNumberFormat="1" applyFont="1" applyBorder="1"/>
    <xf numFmtId="2" fontId="9" fillId="0" borderId="5" xfId="0" applyNumberFormat="1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10" fillId="0" borderId="0" xfId="0" applyNumberFormat="1" applyFont="1"/>
    <xf numFmtId="0" fontId="14" fillId="0" borderId="0" xfId="0" applyFont="1" applyBorder="1" applyAlignment="1">
      <alignment vertical="center" wrapText="1"/>
    </xf>
    <xf numFmtId="166" fontId="5" fillId="0" borderId="1" xfId="0" applyNumberFormat="1" applyFont="1" applyBorder="1"/>
    <xf numFmtId="2" fontId="5" fillId="0" borderId="5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5639651886545075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(HDWM_PostHoc!$K$64:$K$69,HDWM_PostHoc!$K$73:$K$74)</c:f>
              <c:strCache>
                <c:ptCount val="8"/>
                <c:pt idx="0">
                  <c:v>DWM-NB - DWM-HT</c:v>
                </c:pt>
                <c:pt idx="1">
                  <c:v>DWM-NB  - WMA</c:v>
                </c:pt>
                <c:pt idx="2">
                  <c:v>DWM-NB - HMDD_Lite (Q)</c:v>
                </c:pt>
                <c:pt idx="3">
                  <c:v>DWM-HT - DWM-NB</c:v>
                </c:pt>
                <c:pt idx="4">
                  <c:v>DWM-HT - WMA</c:v>
                </c:pt>
                <c:pt idx="5">
                  <c:v>DWM-HT  -HMDD_Lite (Q)</c:v>
                </c:pt>
                <c:pt idx="6">
                  <c:v>HMDD_Lite (Q) - DWM-NB</c:v>
                </c:pt>
                <c:pt idx="7">
                  <c:v>HMDD_Lite (Q) - DWM- HT</c:v>
                </c:pt>
              </c:strCache>
            </c:strRef>
          </c:cat>
          <c:val>
            <c:numRef>
              <c:f>(HDWM_PostHoc!$L$65:$L$69,HDWM_PostHoc!$L$73:$L$74)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(HDWM_PostHoc!$K$64:$K$69,HDWM_PostHoc!$K$73:$K$74)</c:f>
              <c:strCache>
                <c:ptCount val="8"/>
                <c:pt idx="0">
                  <c:v>DWM-NB - DWM-HT</c:v>
                </c:pt>
                <c:pt idx="1">
                  <c:v>DWM-NB  - WMA</c:v>
                </c:pt>
                <c:pt idx="2">
                  <c:v>DWM-NB - HMDD_Lite (Q)</c:v>
                </c:pt>
                <c:pt idx="3">
                  <c:v>DWM-HT - DWM-NB</c:v>
                </c:pt>
                <c:pt idx="4">
                  <c:v>DWM-HT - WMA</c:v>
                </c:pt>
                <c:pt idx="5">
                  <c:v>DWM-HT  -HMDD_Lite (Q)</c:v>
                </c:pt>
                <c:pt idx="6">
                  <c:v>HMDD_Lite (Q) - DWM-NB</c:v>
                </c:pt>
                <c:pt idx="7">
                  <c:v>HMDD_Lite (Q) - DWM- HT</c:v>
                </c:pt>
              </c:strCache>
            </c:strRef>
          </c:cat>
          <c:val>
            <c:numRef>
              <c:f>(HDWM_PostHoc!$M$65:$M$69,HDWM_PostHoc!$M$73:$M$74)</c:f>
              <c:numCache>
                <c:formatCode>0.00</c:formatCode>
                <c:ptCount val="7"/>
                <c:pt idx="0">
                  <c:v>1.7142857142857142</c:v>
                </c:pt>
                <c:pt idx="1">
                  <c:v>0.85714285714285721</c:v>
                </c:pt>
                <c:pt idx="2">
                  <c:v>0</c:v>
                </c:pt>
                <c:pt idx="3">
                  <c:v>1.7142857142857142</c:v>
                </c:pt>
                <c:pt idx="4">
                  <c:v>0.85714285714285721</c:v>
                </c:pt>
                <c:pt idx="5">
                  <c:v>0.85714285714285721</c:v>
                </c:pt>
                <c:pt idx="6">
                  <c:v>0.85714285714285721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3"/>
        <c:axId val="143922304"/>
        <c:axId val="143923840"/>
      </c:barChart>
      <c:catAx>
        <c:axId val="143922304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43923840"/>
        <c:crosses val="autoZero"/>
        <c:auto val="1"/>
        <c:lblAlgn val="ctr"/>
        <c:lblOffset val="100"/>
        <c:noMultiLvlLbl val="0"/>
      </c:catAx>
      <c:valAx>
        <c:axId val="14392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92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5639651886545075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(HDWM_PostHoc!$K$64:$K$69,HDWM_PostHoc!$K$73:$K$74)</c:f>
              <c:strCache>
                <c:ptCount val="8"/>
                <c:pt idx="0">
                  <c:v>DWM-NB - DWM-HT</c:v>
                </c:pt>
                <c:pt idx="1">
                  <c:v>DWM-NB  - WMA</c:v>
                </c:pt>
                <c:pt idx="2">
                  <c:v>DWM-NB - HMDD_Lite (Q)</c:v>
                </c:pt>
                <c:pt idx="3">
                  <c:v>DWM-HT - DWM-NB</c:v>
                </c:pt>
                <c:pt idx="4">
                  <c:v>DWM-HT - WMA</c:v>
                </c:pt>
                <c:pt idx="5">
                  <c:v>DWM-HT  -HMDD_Lite (Q)</c:v>
                </c:pt>
                <c:pt idx="6">
                  <c:v>HMDD_Lite (Q) - DWM-NB</c:v>
                </c:pt>
                <c:pt idx="7">
                  <c:v>HMDD_Lite (Q) - DWM- HT</c:v>
                </c:pt>
              </c:strCache>
            </c:strRef>
          </c:cat>
          <c:val>
            <c:numRef>
              <c:f>(HDWM_PostHoc!$U$66:$U$67,HDWM_PostHoc!$U$69:$U$71,HDWM_PostHoc!$U$73:$U$75)</c:f>
              <c:numCache>
                <c:formatCode>0.00</c:formatCode>
                <c:ptCount val="8"/>
                <c:pt idx="0">
                  <c:v>0.83333333333333326</c:v>
                </c:pt>
                <c:pt idx="1">
                  <c:v>0.44444444444444464</c:v>
                </c:pt>
                <c:pt idx="2">
                  <c:v>1.2777777777777779</c:v>
                </c:pt>
                <c:pt idx="3">
                  <c:v>1.7222222222222223</c:v>
                </c:pt>
                <c:pt idx="4">
                  <c:v>1.2777777777777777</c:v>
                </c:pt>
                <c:pt idx="5">
                  <c:v>0.83333333333333326</c:v>
                </c:pt>
                <c:pt idx="6">
                  <c:v>1.2777777777777779</c:v>
                </c:pt>
                <c:pt idx="7">
                  <c:v>2.5555555555555554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13"/>
        <c:axId val="139847168"/>
        <c:axId val="139848704"/>
      </c:barChart>
      <c:catAx>
        <c:axId val="139847168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39848704"/>
        <c:crosses val="autoZero"/>
        <c:auto val="1"/>
        <c:lblAlgn val="ctr"/>
        <c:lblOffset val="100"/>
        <c:noMultiLvlLbl val="0"/>
      </c:catAx>
      <c:valAx>
        <c:axId val="1398487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984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7859716054386044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HDWM_Family_PostHoc!$S$64:$S$66</c:f>
              <c:strCache>
                <c:ptCount val="3"/>
                <c:pt idx="0">
                  <c:v>P - Q</c:v>
                </c:pt>
                <c:pt idx="1">
                  <c:v>P - A</c:v>
                </c:pt>
                <c:pt idx="2">
                  <c:v>P - B</c:v>
                </c:pt>
              </c:strCache>
            </c:strRef>
          </c:cat>
          <c:val>
            <c:numRef>
              <c:f>HDWM_Family_PostHoc!$U$64:$U$66</c:f>
              <c:numCache>
                <c:formatCode>0.00</c:formatCode>
                <c:ptCount val="3"/>
                <c:pt idx="0">
                  <c:v>0.20000000000000018</c:v>
                </c:pt>
                <c:pt idx="1">
                  <c:v>2.1</c:v>
                </c:pt>
                <c:pt idx="2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13"/>
        <c:axId val="116801920"/>
        <c:axId val="116804224"/>
      </c:barChart>
      <c:catAx>
        <c:axId val="116801920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16804224"/>
        <c:crosses val="autoZero"/>
        <c:auto val="1"/>
        <c:lblAlgn val="ctr"/>
        <c:lblOffset val="100"/>
        <c:noMultiLvlLbl val="0"/>
      </c:catAx>
      <c:valAx>
        <c:axId val="1168042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680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7859716054386044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HDWM_Family_PostHoc!$S$64:$S$66</c:f>
              <c:strCache>
                <c:ptCount val="3"/>
                <c:pt idx="0">
                  <c:v>P - Q</c:v>
                </c:pt>
                <c:pt idx="1">
                  <c:v>P - A</c:v>
                </c:pt>
                <c:pt idx="2">
                  <c:v>P - B</c:v>
                </c:pt>
              </c:strCache>
            </c:strRef>
          </c:cat>
          <c:val>
            <c:numRef>
              <c:f>HDWM_Family_PostHoc!$M$64:$M$66</c:f>
              <c:numCache>
                <c:formatCode>0.00</c:formatCode>
                <c:ptCount val="3"/>
                <c:pt idx="0">
                  <c:v>0.28571428571428603</c:v>
                </c:pt>
                <c:pt idx="1">
                  <c:v>-1.2857142857142856</c:v>
                </c:pt>
                <c:pt idx="2">
                  <c:v>-0.71428571428571397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13"/>
        <c:axId val="144127872"/>
        <c:axId val="144129408"/>
      </c:barChart>
      <c:catAx>
        <c:axId val="144127872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44129408"/>
        <c:crosses val="autoZero"/>
        <c:auto val="1"/>
        <c:lblAlgn val="ctr"/>
        <c:lblOffset val="100"/>
        <c:noMultiLvlLbl val="0"/>
      </c:catAx>
      <c:valAx>
        <c:axId val="144129408"/>
        <c:scaling>
          <c:orientation val="minMax"/>
          <c:max val="2.5"/>
        </c:scaling>
        <c:delete val="0"/>
        <c:axPos val="r"/>
        <c:numFmt formatCode="0.0" sourceLinked="0"/>
        <c:majorTickMark val="out"/>
        <c:minorTickMark val="none"/>
        <c:tickLblPos val="nextTo"/>
        <c:crossAx val="14412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319617</xdr:colOff>
      <xdr:row>19</xdr:row>
      <xdr:rowOff>87842</xdr:rowOff>
    </xdr:from>
    <xdr:to>
      <xdr:col>9</xdr:col>
      <xdr:colOff>37799</xdr:colOff>
      <xdr:row>22</xdr:row>
      <xdr:rowOff>108536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4284" y="3707342"/>
          <a:ext cx="1722967" cy="592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410636</xdr:colOff>
      <xdr:row>20</xdr:row>
      <xdr:rowOff>188822</xdr:rowOff>
    </xdr:from>
    <xdr:to>
      <xdr:col>23</xdr:col>
      <xdr:colOff>175685</xdr:colOff>
      <xdr:row>30</xdr:row>
      <xdr:rowOff>166158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3" y="3998822"/>
          <a:ext cx="5310716" cy="2072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149678</xdr:colOff>
      <xdr:row>81</xdr:row>
      <xdr:rowOff>91165</xdr:rowOff>
    </xdr:from>
    <xdr:to>
      <xdr:col>10</xdr:col>
      <xdr:colOff>639536</xdr:colOff>
      <xdr:row>100</xdr:row>
      <xdr:rowOff>68036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1619251</xdr:colOff>
      <xdr:row>84</xdr:row>
      <xdr:rowOff>54428</xdr:rowOff>
    </xdr:from>
    <xdr:to>
      <xdr:col>14</xdr:col>
      <xdr:colOff>272143</xdr:colOff>
      <xdr:row>103</xdr:row>
      <xdr:rowOff>31299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52</xdr:row>
      <xdr:rowOff>13606</xdr:rowOff>
    </xdr:from>
    <xdr:to>
      <xdr:col>13</xdr:col>
      <xdr:colOff>734787</xdr:colOff>
      <xdr:row>53</xdr:row>
      <xdr:rowOff>149678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1052920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517072</xdr:colOff>
      <xdr:row>53</xdr:row>
      <xdr:rowOff>13607</xdr:rowOff>
    </xdr:from>
    <xdr:to>
      <xdr:col>3</xdr:col>
      <xdr:colOff>1061359</xdr:colOff>
      <xdr:row>54</xdr:row>
      <xdr:rowOff>149679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947" y="10719707"/>
          <a:ext cx="544287" cy="355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503463</xdr:colOff>
      <xdr:row>81</xdr:row>
      <xdr:rowOff>1</xdr:rowOff>
    </xdr:from>
    <xdr:to>
      <xdr:col>3</xdr:col>
      <xdr:colOff>1047750</xdr:colOff>
      <xdr:row>82</xdr:row>
      <xdr:rowOff>136073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338" y="1616392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163286</xdr:colOff>
      <xdr:row>80</xdr:row>
      <xdr:rowOff>81641</xdr:rowOff>
    </xdr:from>
    <xdr:to>
      <xdr:col>13</xdr:col>
      <xdr:colOff>707573</xdr:colOff>
      <xdr:row>82</xdr:row>
      <xdr:rowOff>27213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5511" y="1605506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380999</xdr:colOff>
      <xdr:row>58</xdr:row>
      <xdr:rowOff>108857</xdr:rowOff>
    </xdr:from>
    <xdr:to>
      <xdr:col>3</xdr:col>
      <xdr:colOff>966863</xdr:colOff>
      <xdr:row>60</xdr:row>
      <xdr:rowOff>68036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188175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421822</xdr:colOff>
      <xdr:row>86</xdr:row>
      <xdr:rowOff>136072</xdr:rowOff>
    </xdr:from>
    <xdr:to>
      <xdr:col>3</xdr:col>
      <xdr:colOff>1007686</xdr:colOff>
      <xdr:row>88</xdr:row>
      <xdr:rowOff>95251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697" y="1725249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1483179</xdr:colOff>
      <xdr:row>107</xdr:row>
      <xdr:rowOff>136072</xdr:rowOff>
    </xdr:from>
    <xdr:to>
      <xdr:col>8</xdr:col>
      <xdr:colOff>666750</xdr:colOff>
      <xdr:row>111</xdr:row>
      <xdr:rowOff>180896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7054" y="21291097"/>
          <a:ext cx="2431596" cy="80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204107</xdr:colOff>
      <xdr:row>60</xdr:row>
      <xdr:rowOff>122465</xdr:rowOff>
    </xdr:from>
    <xdr:to>
      <xdr:col>22</xdr:col>
      <xdr:colOff>272142</xdr:colOff>
      <xdr:row>64</xdr:row>
      <xdr:rowOff>81643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185" t="41116" r="38743" b="50470"/>
        <a:stretch/>
      </xdr:blipFill>
      <xdr:spPr>
        <a:xfrm>
          <a:off x="22444982" y="12276365"/>
          <a:ext cx="1687285" cy="72117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0.20619</cdr:x>
      <cdr:y>0.0586</cdr:y>
    </cdr:from>
    <cdr:to>
      <cdr:x>0.94738</cdr:x>
      <cdr:y>0.0586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088572" y="186014"/>
          <a:ext cx="391318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0.02446</cdr:x>
      <cdr:y>0.01606</cdr:y>
    </cdr:from>
    <cdr:to>
      <cdr:x>0.14233</cdr:x>
      <cdr:y>0.07501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4824" y="51193"/>
          <a:ext cx="505254" cy="187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CD</a:t>
          </a:r>
          <a:r>
            <a:rPr lang="en-US" sz="1100" b="1" baseline="0"/>
            <a:t> = 1.77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0.06349</cdr:x>
      <cdr:y>0.30453</cdr:y>
    </cdr:from>
    <cdr:to>
      <cdr:x>0.87754</cdr:x>
      <cdr:y>0.31404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272142" y="1095211"/>
          <a:ext cx="3489209" cy="3418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0.67208</cdr:x>
      <cdr:y>0.22794</cdr:y>
    </cdr:from>
    <cdr:to>
      <cdr:x>0.78995</cdr:x>
      <cdr:y>0.28689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880699" y="819758"/>
          <a:ext cx="505220" cy="212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CD</a:t>
          </a:r>
          <a:r>
            <a:rPr lang="en-US" sz="1100" b="1" baseline="0"/>
            <a:t> = 1.56</a:t>
          </a:r>
          <a:endParaRPr lang="en-US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363010</xdr:colOff>
      <xdr:row>9</xdr:row>
      <xdr:rowOff>51859</xdr:rowOff>
    </xdr:from>
    <xdr:to>
      <xdr:col>13</xdr:col>
      <xdr:colOff>856193</xdr:colOff>
      <xdr:row>13</xdr:row>
      <xdr:rowOff>117777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010" y="1766359"/>
          <a:ext cx="3191933" cy="827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</xdr:colOff>
      <xdr:row>16</xdr:row>
      <xdr:rowOff>0</xdr:rowOff>
    </xdr:from>
    <xdr:to>
      <xdr:col>13</xdr:col>
      <xdr:colOff>226483</xdr:colOff>
      <xdr:row>19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3048000"/>
          <a:ext cx="20097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1253067</xdr:colOff>
      <xdr:row>38</xdr:row>
      <xdr:rowOff>66675</xdr:rowOff>
    </xdr:from>
    <xdr:to>
      <xdr:col>10</xdr:col>
      <xdr:colOff>714375</xdr:colOff>
      <xdr:row>42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6067" y="7316258"/>
          <a:ext cx="22447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378884</xdr:colOff>
      <xdr:row>46</xdr:row>
      <xdr:rowOff>72405</xdr:rowOff>
    </xdr:from>
    <xdr:to>
      <xdr:col>28</xdr:col>
      <xdr:colOff>165100</xdr:colOff>
      <xdr:row>57</xdr:row>
      <xdr:rowOff>49741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6051" y="9036488"/>
          <a:ext cx="5310716" cy="2072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56</xdr:row>
      <xdr:rowOff>13606</xdr:rowOff>
    </xdr:from>
    <xdr:to>
      <xdr:col>11</xdr:col>
      <xdr:colOff>734787</xdr:colOff>
      <xdr:row>57</xdr:row>
      <xdr:rowOff>149678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286" y="13008427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517072</xdr:colOff>
      <xdr:row>57</xdr:row>
      <xdr:rowOff>13607</xdr:rowOff>
    </xdr:from>
    <xdr:to>
      <xdr:col>3</xdr:col>
      <xdr:colOff>1061359</xdr:colOff>
      <xdr:row>58</xdr:row>
      <xdr:rowOff>149679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4036" y="13198928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503463</xdr:colOff>
      <xdr:row>85</xdr:row>
      <xdr:rowOff>1</xdr:rowOff>
    </xdr:from>
    <xdr:to>
      <xdr:col>3</xdr:col>
      <xdr:colOff>1047750</xdr:colOff>
      <xdr:row>86</xdr:row>
      <xdr:rowOff>136073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427" y="15933965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163286</xdr:colOff>
      <xdr:row>84</xdr:row>
      <xdr:rowOff>81641</xdr:rowOff>
    </xdr:from>
    <xdr:to>
      <xdr:col>11</xdr:col>
      <xdr:colOff>707573</xdr:colOff>
      <xdr:row>86</xdr:row>
      <xdr:rowOff>27213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7072" y="15825105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380999</xdr:colOff>
      <xdr:row>62</xdr:row>
      <xdr:rowOff>108857</xdr:rowOff>
    </xdr:from>
    <xdr:to>
      <xdr:col>3</xdr:col>
      <xdr:colOff>966863</xdr:colOff>
      <xdr:row>64</xdr:row>
      <xdr:rowOff>68036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3" y="14328321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421822</xdr:colOff>
      <xdr:row>90</xdr:row>
      <xdr:rowOff>136072</xdr:rowOff>
    </xdr:from>
    <xdr:to>
      <xdr:col>3</xdr:col>
      <xdr:colOff>1007686</xdr:colOff>
      <xdr:row>92</xdr:row>
      <xdr:rowOff>95251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786" y="18546536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1483179</xdr:colOff>
      <xdr:row>111</xdr:row>
      <xdr:rowOff>136072</xdr:rowOff>
    </xdr:from>
    <xdr:to>
      <xdr:col>6</xdr:col>
      <xdr:colOff>666750</xdr:colOff>
      <xdr:row>115</xdr:row>
      <xdr:rowOff>180896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3643" y="20519572"/>
          <a:ext cx="1632857" cy="80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204107</xdr:colOff>
      <xdr:row>64</xdr:row>
      <xdr:rowOff>122465</xdr:rowOff>
    </xdr:from>
    <xdr:to>
      <xdr:col>20</xdr:col>
      <xdr:colOff>272142</xdr:colOff>
      <xdr:row>68</xdr:row>
      <xdr:rowOff>81643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185" t="41116" r="38743" b="50470"/>
        <a:stretch/>
      </xdr:blipFill>
      <xdr:spPr>
        <a:xfrm>
          <a:off x="18124714" y="12083144"/>
          <a:ext cx="1687285" cy="7211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52</xdr:row>
      <xdr:rowOff>13606</xdr:rowOff>
    </xdr:from>
    <xdr:to>
      <xdr:col>11</xdr:col>
      <xdr:colOff>734787</xdr:colOff>
      <xdr:row>53</xdr:row>
      <xdr:rowOff>149678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1129120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517072</xdr:colOff>
      <xdr:row>53</xdr:row>
      <xdr:rowOff>13607</xdr:rowOff>
    </xdr:from>
    <xdr:to>
      <xdr:col>3</xdr:col>
      <xdr:colOff>1061359</xdr:colOff>
      <xdr:row>54</xdr:row>
      <xdr:rowOff>149679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947" y="11481707"/>
          <a:ext cx="544287" cy="355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503463</xdr:colOff>
      <xdr:row>81</xdr:row>
      <xdr:rowOff>1</xdr:rowOff>
    </xdr:from>
    <xdr:to>
      <xdr:col>3</xdr:col>
      <xdr:colOff>1047750</xdr:colOff>
      <xdr:row>82</xdr:row>
      <xdr:rowOff>136073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338" y="1692592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163286</xdr:colOff>
      <xdr:row>80</xdr:row>
      <xdr:rowOff>81641</xdr:rowOff>
    </xdr:from>
    <xdr:to>
      <xdr:col>11</xdr:col>
      <xdr:colOff>707573</xdr:colOff>
      <xdr:row>82</xdr:row>
      <xdr:rowOff>27213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5511" y="1681706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380999</xdr:colOff>
      <xdr:row>58</xdr:row>
      <xdr:rowOff>108857</xdr:rowOff>
    </xdr:from>
    <xdr:to>
      <xdr:col>3</xdr:col>
      <xdr:colOff>966863</xdr:colOff>
      <xdr:row>60</xdr:row>
      <xdr:rowOff>68036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264375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421822</xdr:colOff>
      <xdr:row>86</xdr:row>
      <xdr:rowOff>136072</xdr:rowOff>
    </xdr:from>
    <xdr:to>
      <xdr:col>3</xdr:col>
      <xdr:colOff>1007686</xdr:colOff>
      <xdr:row>88</xdr:row>
      <xdr:rowOff>95251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697" y="1801449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1483179</xdr:colOff>
      <xdr:row>107</xdr:row>
      <xdr:rowOff>136072</xdr:rowOff>
    </xdr:from>
    <xdr:to>
      <xdr:col>6</xdr:col>
      <xdr:colOff>666750</xdr:colOff>
      <xdr:row>111</xdr:row>
      <xdr:rowOff>180896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7054" y="22053097"/>
          <a:ext cx="2431596" cy="80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204107</xdr:colOff>
      <xdr:row>60</xdr:row>
      <xdr:rowOff>122465</xdr:rowOff>
    </xdr:from>
    <xdr:to>
      <xdr:col>20</xdr:col>
      <xdr:colOff>272142</xdr:colOff>
      <xdr:row>64</xdr:row>
      <xdr:rowOff>81643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185" t="41116" r="38743" b="50470"/>
        <a:stretch/>
      </xdr:blipFill>
      <xdr:spPr>
        <a:xfrm>
          <a:off x="22444982" y="13038365"/>
          <a:ext cx="1687285" cy="7211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319617</xdr:colOff>
      <xdr:row>19</xdr:row>
      <xdr:rowOff>87842</xdr:rowOff>
    </xdr:from>
    <xdr:to>
      <xdr:col>9</xdr:col>
      <xdr:colOff>37799</xdr:colOff>
      <xdr:row>22</xdr:row>
      <xdr:rowOff>108536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5967" y="3707342"/>
          <a:ext cx="1718432" cy="592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410636</xdr:colOff>
      <xdr:row>20</xdr:row>
      <xdr:rowOff>188822</xdr:rowOff>
    </xdr:from>
    <xdr:to>
      <xdr:col>22</xdr:col>
      <xdr:colOff>502257</xdr:colOff>
      <xdr:row>30</xdr:row>
      <xdr:rowOff>166158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9186" y="3998822"/>
          <a:ext cx="5289549" cy="2072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1619251</xdr:colOff>
      <xdr:row>84</xdr:row>
      <xdr:rowOff>54429</xdr:rowOff>
    </xdr:from>
    <xdr:to>
      <xdr:col>14</xdr:col>
      <xdr:colOff>190500</xdr:colOff>
      <xdr:row>99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421821</xdr:colOff>
      <xdr:row>78</xdr:row>
      <xdr:rowOff>149678</xdr:rowOff>
    </xdr:from>
    <xdr:to>
      <xdr:col>10</xdr:col>
      <xdr:colOff>830036</xdr:colOff>
      <xdr:row>93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0.0381</cdr:x>
      <cdr:y>0.17211</cdr:y>
    </cdr:from>
    <cdr:to>
      <cdr:x>0.87119</cdr:x>
      <cdr:y>0.17211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63285" y="618954"/>
          <a:ext cx="357085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0.59271</cdr:x>
      <cdr:y>0.0923</cdr:y>
    </cdr:from>
    <cdr:to>
      <cdr:x>0.78095</cdr:x>
      <cdr:y>0.1784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492133" y="258730"/>
          <a:ext cx="791464" cy="24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CD</a:t>
          </a:r>
          <a:r>
            <a:rPr lang="en-US" sz="1100" b="1" baseline="0"/>
            <a:t> = 1.95</a:t>
          </a:r>
          <a:endParaRPr lang="en-US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0.03486</cdr:x>
      <cdr:y>0.19153</cdr:y>
    </cdr:from>
    <cdr:to>
      <cdr:x>0.86795</cdr:x>
      <cdr:y>0.19153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46588" y="536866"/>
          <a:ext cx="350281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0.40501</cdr:x>
      <cdr:y>0</cdr:y>
    </cdr:from>
    <cdr:to>
      <cdr:x>0.59325</cdr:x>
      <cdr:y>0.0861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02898" y="0"/>
          <a:ext cx="791475" cy="24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Group A</a:t>
          </a:r>
          <a:br>
            <a:rPr lang="en-US" sz="1100" b="1"/>
          </a:br>
          <a:r>
            <a:rPr lang="en-US" sz="1100" b="1"/>
            <a:t>CD</a:t>
          </a:r>
          <a:r>
            <a:rPr lang="en-US" sz="1100" b="1" baseline="0"/>
            <a:t> = 1.65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84"/>
  <sheetViews>
    <sheetView topLeftCell="C28" zoomScale="70" zoomScaleNormal="70" workbookViewId="0">
      <selection activeCell="L44" sqref="L44"/>
    </sheetView>
  </sheetViews>
  <sheetFormatPr defaultRowHeight="15" x14ac:dyDescent="0.25"/>
  <cols>
    <col min="3" max="3" width="10.7109375" bestFit="1" customWidth="1"/>
    <col min="4" max="4" width="9.140625" customWidth="1"/>
    <col min="5" max="5" width="9.7109375" customWidth="1"/>
    <col min="6" max="6" width="18.42578125" customWidth="1"/>
    <col min="7" max="7" width="10" bestFit="1" customWidth="1"/>
    <col min="8" max="8" width="14.42578125" bestFit="1" customWidth="1"/>
    <col min="9" max="9" width="15.5703125" customWidth="1"/>
    <col min="10" max="10" width="17" bestFit="1" customWidth="1"/>
    <col min="11" max="11" width="32" bestFit="1" customWidth="1"/>
    <col min="12" max="12" width="25.28515625" customWidth="1"/>
    <col min="13" max="13" width="13.85546875" bestFit="1" customWidth="1"/>
    <col min="14" max="14" width="13.28515625" bestFit="1" customWidth="1"/>
    <col min="19" max="20" width="18.5703125" bestFit="1" customWidth="1"/>
  </cols>
  <sheetData>
    <row r="2" spans="3:17" x14ac:dyDescent="0.25">
      <c r="D2" s="122" t="s">
        <v>111</v>
      </c>
      <c r="E2" s="122"/>
      <c r="F2" s="122"/>
      <c r="G2" s="122"/>
      <c r="H2" s="122"/>
      <c r="I2" s="122"/>
      <c r="L2" s="122" t="s">
        <v>112</v>
      </c>
      <c r="M2" s="122"/>
      <c r="N2" s="122"/>
      <c r="O2" s="122"/>
      <c r="P2" s="122"/>
      <c r="Q2" s="122"/>
    </row>
    <row r="3" spans="3:17" x14ac:dyDescent="0.25">
      <c r="D3" s="32"/>
      <c r="E3" s="101" t="s">
        <v>18</v>
      </c>
      <c r="F3" s="101" t="s">
        <v>57</v>
      </c>
      <c r="G3" s="101" t="s">
        <v>65</v>
      </c>
      <c r="H3" s="86" t="s">
        <v>85</v>
      </c>
      <c r="I3" s="29"/>
      <c r="L3" s="32"/>
      <c r="M3" s="101" t="s">
        <v>18</v>
      </c>
      <c r="N3" s="101" t="s">
        <v>57</v>
      </c>
      <c r="O3" s="101" t="s">
        <v>65</v>
      </c>
      <c r="P3" s="86" t="s">
        <v>85</v>
      </c>
      <c r="Q3" s="29"/>
    </row>
    <row r="4" spans="3:17" x14ac:dyDescent="0.25">
      <c r="D4" s="19"/>
      <c r="E4" s="19">
        <v>4</v>
      </c>
      <c r="F4" s="19">
        <v>3</v>
      </c>
      <c r="G4" s="19">
        <v>2</v>
      </c>
      <c r="H4" s="19">
        <v>1</v>
      </c>
      <c r="I4" s="19"/>
      <c r="L4" s="19"/>
      <c r="M4" s="19">
        <v>1</v>
      </c>
      <c r="N4" s="19">
        <v>3</v>
      </c>
      <c r="O4" s="19">
        <v>4</v>
      </c>
      <c r="P4" s="19">
        <v>2</v>
      </c>
      <c r="Q4" s="19"/>
    </row>
    <row r="5" spans="3:17" x14ac:dyDescent="0.25">
      <c r="D5" s="19"/>
      <c r="E5" s="19">
        <v>4</v>
      </c>
      <c r="F5" s="19">
        <v>2</v>
      </c>
      <c r="G5" s="19">
        <v>3</v>
      </c>
      <c r="H5" s="19">
        <v>1</v>
      </c>
      <c r="I5" s="19"/>
      <c r="L5" s="19"/>
      <c r="M5" s="19">
        <v>2</v>
      </c>
      <c r="N5" s="19">
        <v>3</v>
      </c>
      <c r="O5" s="19">
        <v>4</v>
      </c>
      <c r="P5" s="19">
        <v>1</v>
      </c>
      <c r="Q5" s="19"/>
    </row>
    <row r="6" spans="3:17" x14ac:dyDescent="0.25">
      <c r="D6" s="19"/>
      <c r="E6" s="19">
        <v>4</v>
      </c>
      <c r="F6" s="19">
        <v>3</v>
      </c>
      <c r="G6" s="19">
        <v>1</v>
      </c>
      <c r="H6" s="19">
        <v>2</v>
      </c>
      <c r="I6" s="19"/>
      <c r="L6" s="19"/>
      <c r="M6" s="19">
        <v>2</v>
      </c>
      <c r="N6" s="19">
        <v>3</v>
      </c>
      <c r="O6" s="19">
        <v>4</v>
      </c>
      <c r="P6" s="19">
        <v>1</v>
      </c>
      <c r="Q6" s="19"/>
    </row>
    <row r="7" spans="3:17" x14ac:dyDescent="0.25">
      <c r="D7" s="19"/>
      <c r="E7" s="19">
        <v>2</v>
      </c>
      <c r="F7" s="19">
        <v>4</v>
      </c>
      <c r="G7" s="19">
        <v>1</v>
      </c>
      <c r="H7" s="19">
        <v>3</v>
      </c>
      <c r="I7" s="19"/>
      <c r="L7" s="19"/>
      <c r="M7" s="19">
        <v>1</v>
      </c>
      <c r="N7" s="19">
        <v>3</v>
      </c>
      <c r="O7" s="19">
        <v>4</v>
      </c>
      <c r="P7" s="19">
        <v>2</v>
      </c>
      <c r="Q7" s="19"/>
    </row>
    <row r="8" spans="3:17" x14ac:dyDescent="0.25">
      <c r="D8" s="19"/>
      <c r="E8" s="19">
        <v>2</v>
      </c>
      <c r="F8" s="19">
        <v>4</v>
      </c>
      <c r="G8" s="19">
        <v>1</v>
      </c>
      <c r="H8" s="19">
        <v>3</v>
      </c>
      <c r="I8" s="19"/>
      <c r="L8" s="19"/>
      <c r="M8" s="19">
        <v>1</v>
      </c>
      <c r="N8" s="19">
        <v>3</v>
      </c>
      <c r="O8" s="19">
        <v>4</v>
      </c>
      <c r="P8" s="19">
        <v>2</v>
      </c>
      <c r="Q8" s="19"/>
    </row>
    <row r="9" spans="3:17" x14ac:dyDescent="0.25">
      <c r="D9" s="19"/>
      <c r="E9" s="19">
        <v>2</v>
      </c>
      <c r="F9" s="19">
        <v>4</v>
      </c>
      <c r="G9" s="19">
        <v>1</v>
      </c>
      <c r="H9" s="19">
        <v>3</v>
      </c>
      <c r="I9" s="19"/>
      <c r="J9" s="2"/>
      <c r="K9" s="16" t="s">
        <v>159</v>
      </c>
      <c r="M9">
        <v>4</v>
      </c>
      <c r="N9">
        <v>2</v>
      </c>
      <c r="O9">
        <v>3</v>
      </c>
      <c r="P9">
        <v>1</v>
      </c>
      <c r="Q9" s="37"/>
    </row>
    <row r="10" spans="3:17" x14ac:dyDescent="0.25">
      <c r="D10" s="19"/>
      <c r="E10" s="19">
        <v>4</v>
      </c>
      <c r="F10" s="19">
        <v>2</v>
      </c>
      <c r="G10" s="19">
        <v>1</v>
      </c>
      <c r="H10" s="19">
        <v>3</v>
      </c>
      <c r="I10" s="19"/>
      <c r="L10" s="81"/>
      <c r="M10" s="81">
        <v>3</v>
      </c>
      <c r="N10" s="81">
        <v>2</v>
      </c>
      <c r="O10" s="81">
        <v>4</v>
      </c>
      <c r="P10" s="81">
        <v>1</v>
      </c>
      <c r="Q10" s="81"/>
    </row>
    <row r="11" spans="3:17" x14ac:dyDescent="0.25">
      <c r="D11" s="19"/>
      <c r="E11" s="19"/>
      <c r="F11" s="19"/>
      <c r="G11" s="19"/>
      <c r="H11" s="19"/>
      <c r="I11" s="19"/>
      <c r="L11" s="81"/>
      <c r="M11" s="81">
        <v>3</v>
      </c>
      <c r="N11" s="81">
        <v>2</v>
      </c>
      <c r="O11" s="81">
        <v>4</v>
      </c>
      <c r="P11" s="81">
        <v>1</v>
      </c>
      <c r="Q11" s="81"/>
    </row>
    <row r="12" spans="3:17" x14ac:dyDescent="0.25">
      <c r="C12" s="16" t="s">
        <v>159</v>
      </c>
      <c r="D12" s="30"/>
      <c r="E12" s="37">
        <f t="shared" ref="E12:H12" si="0">AVERAGE(E4:E11)</f>
        <v>3.1428571428571428</v>
      </c>
      <c r="F12" s="30">
        <f t="shared" si="0"/>
        <v>3.1428571428571428</v>
      </c>
      <c r="G12" s="37">
        <f t="shared" si="0"/>
        <v>1.4285714285714286</v>
      </c>
      <c r="H12" s="30">
        <f t="shared" si="0"/>
        <v>2.2857142857142856</v>
      </c>
      <c r="I12" s="30"/>
      <c r="J12" s="7"/>
      <c r="M12">
        <v>2.5</v>
      </c>
      <c r="N12">
        <v>2.5</v>
      </c>
      <c r="O12">
        <v>4</v>
      </c>
      <c r="P12">
        <v>1</v>
      </c>
    </row>
    <row r="13" spans="3:17" x14ac:dyDescent="0.25">
      <c r="I13" s="6"/>
      <c r="J13" s="8"/>
      <c r="Q13" s="6"/>
    </row>
    <row r="14" spans="3:17" x14ac:dyDescent="0.25">
      <c r="L14" s="37"/>
      <c r="M14" s="37">
        <f>AVERAGE(M4:M13)</f>
        <v>2.1666666666666665</v>
      </c>
      <c r="N14" s="37">
        <f t="shared" ref="N14:P14" si="1">AVERAGE(N4:N13)</f>
        <v>2.6111111111111112</v>
      </c>
      <c r="O14" s="37">
        <f t="shared" si="1"/>
        <v>3.8888888888888888</v>
      </c>
      <c r="P14" s="37">
        <f t="shared" si="1"/>
        <v>1.3333333333333333</v>
      </c>
    </row>
    <row r="15" spans="3:17" x14ac:dyDescent="0.25">
      <c r="D15" s="9" t="s">
        <v>25</v>
      </c>
      <c r="E15" s="9">
        <v>7</v>
      </c>
      <c r="L15" s="9" t="s">
        <v>25</v>
      </c>
      <c r="M15" s="9">
        <v>9</v>
      </c>
    </row>
    <row r="16" spans="3:17" x14ac:dyDescent="0.25">
      <c r="D16" s="9" t="s">
        <v>26</v>
      </c>
      <c r="E16" s="9">
        <v>4</v>
      </c>
      <c r="L16" s="9" t="s">
        <v>26</v>
      </c>
      <c r="M16" s="9">
        <v>4</v>
      </c>
    </row>
    <row r="17" spans="4:15" x14ac:dyDescent="0.25">
      <c r="D17" s="9" t="s">
        <v>134</v>
      </c>
      <c r="E17" s="31">
        <f>MAX(D12:I12)</f>
        <v>3.1428571428571428</v>
      </c>
      <c r="L17" s="9" t="s">
        <v>134</v>
      </c>
      <c r="M17" s="31">
        <f>MAX(L14:Q14)</f>
        <v>3.8888888888888888</v>
      </c>
    </row>
    <row r="18" spans="4:15" x14ac:dyDescent="0.25">
      <c r="D18" s="9" t="s">
        <v>135</v>
      </c>
      <c r="E18" s="31">
        <f>MIN(D12:I12)</f>
        <v>1.4285714285714286</v>
      </c>
      <c r="L18" s="9" t="s">
        <v>135</v>
      </c>
      <c r="M18" s="31">
        <f>MIN(L14:Q14)</f>
        <v>1.3333333333333333</v>
      </c>
    </row>
    <row r="19" spans="4:15" x14ac:dyDescent="0.25">
      <c r="D19" s="9" t="s">
        <v>142</v>
      </c>
      <c r="G19" s="78">
        <f>E17-E18</f>
        <v>1.7142857142857142</v>
      </c>
      <c r="L19" s="9" t="s">
        <v>142</v>
      </c>
      <c r="M19" s="9"/>
      <c r="O19" s="78">
        <f>M17-M18</f>
        <v>2.5555555555555554</v>
      </c>
    </row>
    <row r="20" spans="4:15" x14ac:dyDescent="0.25">
      <c r="L20" s="10"/>
      <c r="M20" s="10"/>
      <c r="N20" s="10"/>
      <c r="O20" s="10"/>
    </row>
    <row r="21" spans="4:15" x14ac:dyDescent="0.25">
      <c r="L21" s="1"/>
      <c r="M21" s="1"/>
      <c r="N21" s="80"/>
      <c r="O21" s="10"/>
    </row>
    <row r="22" spans="4:15" x14ac:dyDescent="0.25">
      <c r="L22" s="54" t="s">
        <v>163</v>
      </c>
    </row>
    <row r="23" spans="4:15" ht="30" x14ac:dyDescent="0.25">
      <c r="F23" s="15" t="s">
        <v>149</v>
      </c>
      <c r="J23" s="77" t="s">
        <v>155</v>
      </c>
      <c r="L23" s="15" t="s">
        <v>149</v>
      </c>
    </row>
    <row r="25" spans="4:15" x14ac:dyDescent="0.25">
      <c r="D25" t="s">
        <v>143</v>
      </c>
      <c r="F25" s="74" t="s">
        <v>137</v>
      </c>
      <c r="G25" s="4">
        <f>SQRT((E16*(E16+1))/(6*E15))*R38</f>
        <v>1.7727784219505081</v>
      </c>
      <c r="L25" t="s">
        <v>143</v>
      </c>
      <c r="N25" s="74" t="s">
        <v>137</v>
      </c>
      <c r="O25" s="4">
        <f>SQRT((M16*(M16+1))/(6*M15))*R38</f>
        <v>1.5634436113675243</v>
      </c>
    </row>
    <row r="27" spans="4:15" x14ac:dyDescent="0.25">
      <c r="D27" t="s">
        <v>144</v>
      </c>
      <c r="F27" t="s">
        <v>151</v>
      </c>
      <c r="L27" t="s">
        <v>144</v>
      </c>
      <c r="N27" t="s">
        <v>151</v>
      </c>
    </row>
    <row r="29" spans="4:15" x14ac:dyDescent="0.25">
      <c r="D29" t="s">
        <v>146</v>
      </c>
      <c r="F29" t="s">
        <v>148</v>
      </c>
      <c r="L29" t="s">
        <v>146</v>
      </c>
      <c r="N29" t="s">
        <v>148</v>
      </c>
    </row>
    <row r="31" spans="4:15" x14ac:dyDescent="0.25">
      <c r="D31" s="16" t="s">
        <v>147</v>
      </c>
      <c r="E31" s="16"/>
      <c r="F31" s="16" t="str">
        <f>IF(G19&lt;G25,"Not Powerfull","Powerfull")</f>
        <v>Not Powerfull</v>
      </c>
      <c r="G31" s="16"/>
      <c r="L31" s="16" t="s">
        <v>147</v>
      </c>
      <c r="M31" s="16"/>
      <c r="N31" s="16" t="str">
        <f>IF(O19&lt;O25,"Not Powerfull","Powerfull")</f>
        <v>Powerfull</v>
      </c>
    </row>
    <row r="34" spans="4:20" x14ac:dyDescent="0.25">
      <c r="F34" s="15" t="s">
        <v>150</v>
      </c>
    </row>
    <row r="36" spans="4:20" x14ac:dyDescent="0.25">
      <c r="D36" t="s">
        <v>143</v>
      </c>
      <c r="F36" s="74" t="s">
        <v>137</v>
      </c>
      <c r="G36" s="4">
        <f>SQRT((E16*(E16+1))/(6*E15))*R39</f>
        <v>1.5809401964533336</v>
      </c>
      <c r="Q36" s="16" t="s">
        <v>140</v>
      </c>
    </row>
    <row r="37" spans="4:20" x14ac:dyDescent="0.25">
      <c r="Q37" s="9"/>
      <c r="R37" s="9">
        <v>4</v>
      </c>
      <c r="S37" s="9">
        <v>5</v>
      </c>
      <c r="T37" s="9">
        <v>6</v>
      </c>
    </row>
    <row r="38" spans="4:20" x14ac:dyDescent="0.25">
      <c r="D38" t="s">
        <v>144</v>
      </c>
      <c r="F38" t="s">
        <v>151</v>
      </c>
      <c r="Q38" s="9" t="s">
        <v>138</v>
      </c>
      <c r="R38" s="9">
        <v>2.569</v>
      </c>
      <c r="S38" s="9">
        <v>2.7280000000000002</v>
      </c>
      <c r="T38" s="9">
        <v>2.85</v>
      </c>
    </row>
    <row r="39" spans="4:20" x14ac:dyDescent="0.25">
      <c r="Q39" s="9" t="s">
        <v>139</v>
      </c>
      <c r="R39" s="9">
        <v>2.2909999999999999</v>
      </c>
      <c r="S39" s="9">
        <v>2.4590000000000001</v>
      </c>
      <c r="T39" s="9">
        <v>2.589</v>
      </c>
    </row>
    <row r="40" spans="4:20" x14ac:dyDescent="0.25">
      <c r="D40" t="s">
        <v>146</v>
      </c>
      <c r="F40" t="s">
        <v>148</v>
      </c>
    </row>
    <row r="41" spans="4:20" x14ac:dyDescent="0.25">
      <c r="Q41" s="16" t="s">
        <v>141</v>
      </c>
    </row>
    <row r="42" spans="4:20" x14ac:dyDescent="0.25">
      <c r="D42" s="16" t="s">
        <v>147</v>
      </c>
      <c r="E42" s="16"/>
      <c r="F42" s="16" t="str">
        <f>IF(O19&lt;G36,"Not Powerfull","Powerfull")</f>
        <v>Powerfull</v>
      </c>
      <c r="G42" s="16"/>
      <c r="Q42" s="9"/>
      <c r="R42" s="9">
        <v>4</v>
      </c>
      <c r="S42" s="9">
        <v>5</v>
      </c>
      <c r="T42" s="9">
        <v>6</v>
      </c>
    </row>
    <row r="43" spans="4:20" x14ac:dyDescent="0.25">
      <c r="Q43" s="9" t="s">
        <v>138</v>
      </c>
      <c r="R43" s="9">
        <v>2.3940000000000001</v>
      </c>
      <c r="S43" s="9">
        <v>2.4980000000000002</v>
      </c>
      <c r="T43" s="9">
        <v>2.5760000000000001</v>
      </c>
    </row>
    <row r="44" spans="4:20" x14ac:dyDescent="0.25">
      <c r="F44" t="s">
        <v>152</v>
      </c>
      <c r="Q44" s="9" t="s">
        <v>139</v>
      </c>
      <c r="R44" s="9">
        <v>2.1280000000000001</v>
      </c>
      <c r="S44" s="9">
        <v>2.2410000000000001</v>
      </c>
      <c r="T44" s="9">
        <v>2.3260000000000001</v>
      </c>
    </row>
    <row r="46" spans="4:20" x14ac:dyDescent="0.25">
      <c r="G46" s="4"/>
    </row>
    <row r="48" spans="4:20" x14ac:dyDescent="0.25">
      <c r="F48" s="15" t="s">
        <v>156</v>
      </c>
      <c r="N48" s="15" t="s">
        <v>156</v>
      </c>
    </row>
    <row r="50" spans="4:24" x14ac:dyDescent="0.25">
      <c r="D50" t="s">
        <v>143</v>
      </c>
      <c r="F50" s="74" t="s">
        <v>137</v>
      </c>
      <c r="G50" s="3">
        <f>SQRT((E16*(E16+1))/(6*E15))*(T43)</f>
        <v>1.7776088808659045</v>
      </c>
      <c r="L50" t="s">
        <v>143</v>
      </c>
      <c r="N50" s="74" t="s">
        <v>137</v>
      </c>
      <c r="O50" s="3">
        <f>SQRT((M16*(M16+1))/(6*M15))*R43</f>
        <v>1.4569420029637421</v>
      </c>
    </row>
    <row r="52" spans="4:24" x14ac:dyDescent="0.25">
      <c r="D52" t="s">
        <v>144</v>
      </c>
      <c r="F52" t="s">
        <v>151</v>
      </c>
      <c r="L52" t="s">
        <v>144</v>
      </c>
      <c r="N52" t="s">
        <v>151</v>
      </c>
    </row>
    <row r="54" spans="4:24" x14ac:dyDescent="0.25">
      <c r="D54" t="s">
        <v>146</v>
      </c>
      <c r="F54" t="s">
        <v>148</v>
      </c>
      <c r="L54" t="s">
        <v>146</v>
      </c>
      <c r="N54" t="s">
        <v>148</v>
      </c>
    </row>
    <row r="56" spans="4:24" x14ac:dyDescent="0.25">
      <c r="D56" s="16"/>
      <c r="E56" s="16"/>
      <c r="F56" s="16"/>
      <c r="G56" s="16"/>
    </row>
    <row r="57" spans="4:24" x14ac:dyDescent="0.25">
      <c r="D57" s="10"/>
      <c r="E57" s="10"/>
      <c r="F57" s="10"/>
      <c r="G57" s="10"/>
      <c r="H57" s="10"/>
      <c r="K57" s="1"/>
      <c r="L57" s="1"/>
      <c r="M57" s="1"/>
      <c r="N57" s="1"/>
    </row>
    <row r="58" spans="4:24" x14ac:dyDescent="0.25">
      <c r="D58" s="1"/>
      <c r="E58" s="82"/>
      <c r="F58" s="10"/>
      <c r="G58" s="10"/>
      <c r="H58" s="10"/>
      <c r="K58" s="79"/>
      <c r="L58" s="80"/>
      <c r="M58" s="80"/>
      <c r="N58" s="79"/>
    </row>
    <row r="59" spans="4:24" x14ac:dyDescent="0.25">
      <c r="D59" s="1"/>
      <c r="E59" s="53"/>
      <c r="F59" s="10"/>
      <c r="G59" s="10"/>
      <c r="H59" s="10"/>
      <c r="K59" s="16" t="s">
        <v>165</v>
      </c>
      <c r="S59" s="16" t="s">
        <v>162</v>
      </c>
    </row>
    <row r="60" spans="4:24" x14ac:dyDescent="0.25">
      <c r="D60" s="1"/>
      <c r="E60" s="53"/>
      <c r="F60" s="10"/>
      <c r="G60" s="10"/>
      <c r="H60" s="10"/>
    </row>
    <row r="61" spans="4:24" x14ac:dyDescent="0.25">
      <c r="D61" s="10"/>
      <c r="E61" s="10"/>
      <c r="F61" s="10"/>
      <c r="G61" s="10"/>
      <c r="H61" s="10"/>
      <c r="K61" s="121" t="s">
        <v>18</v>
      </c>
      <c r="L61" s="121" t="s">
        <v>57</v>
      </c>
      <c r="M61" s="121" t="s">
        <v>65</v>
      </c>
      <c r="N61" s="86" t="s">
        <v>85</v>
      </c>
      <c r="O61" s="121"/>
      <c r="P61" s="29"/>
      <c r="S61" s="121" t="s">
        <v>18</v>
      </c>
      <c r="T61" s="121" t="s">
        <v>57</v>
      </c>
      <c r="U61" s="121" t="s">
        <v>65</v>
      </c>
      <c r="V61" s="86" t="s">
        <v>85</v>
      </c>
      <c r="W61" s="32"/>
      <c r="X61" s="29"/>
    </row>
    <row r="62" spans="4:24" x14ac:dyDescent="0.25">
      <c r="K62" s="123">
        <f>E12</f>
        <v>3.1428571428571428</v>
      </c>
      <c r="L62" s="123">
        <f t="shared" ref="L62:N62" si="2">F12</f>
        <v>3.1428571428571428</v>
      </c>
      <c r="M62" s="123">
        <f t="shared" si="2"/>
        <v>1.4285714285714286</v>
      </c>
      <c r="N62" s="123">
        <f t="shared" si="2"/>
        <v>2.2857142857142856</v>
      </c>
      <c r="O62" s="123"/>
      <c r="P62" s="123"/>
      <c r="S62" s="123">
        <f>M14</f>
        <v>2.1666666666666665</v>
      </c>
      <c r="T62" s="123">
        <f t="shared" ref="T62:W62" si="3">N14</f>
        <v>2.6111111111111112</v>
      </c>
      <c r="U62" s="123">
        <f t="shared" si="3"/>
        <v>3.8888888888888888</v>
      </c>
      <c r="V62" s="123">
        <f t="shared" si="3"/>
        <v>1.3333333333333333</v>
      </c>
      <c r="W62" s="123">
        <f t="shared" si="3"/>
        <v>0</v>
      </c>
      <c r="X62" s="13"/>
    </row>
    <row r="63" spans="4:24" x14ac:dyDescent="0.25">
      <c r="M63" s="13" t="s">
        <v>166</v>
      </c>
      <c r="N63" t="s">
        <v>137</v>
      </c>
      <c r="U63" s="13" t="s">
        <v>166</v>
      </c>
      <c r="V63" t="s">
        <v>137</v>
      </c>
    </row>
    <row r="64" spans="4:24" x14ac:dyDescent="0.25">
      <c r="J64" t="s">
        <v>168</v>
      </c>
      <c r="K64" s="121" t="s">
        <v>203</v>
      </c>
      <c r="L64" s="121"/>
      <c r="M64" s="93">
        <f>K62-L$62</f>
        <v>0</v>
      </c>
      <c r="N64" s="126">
        <f>G25</f>
        <v>1.7727784219505081</v>
      </c>
      <c r="O64" s="81"/>
      <c r="P64" s="81" t="str">
        <f>IF(M64&gt;N64,"better","not")</f>
        <v>not</v>
      </c>
      <c r="S64" s="121" t="s">
        <v>203</v>
      </c>
      <c r="T64" s="121"/>
      <c r="U64" s="93">
        <f>S62-T$62</f>
        <v>-0.44444444444444464</v>
      </c>
      <c r="V64" s="126">
        <f>O25</f>
        <v>1.5634436113675243</v>
      </c>
      <c r="W64" s="81"/>
      <c r="X64" s="81" t="str">
        <f>IF(U64&gt;V64,"better","not")</f>
        <v>not</v>
      </c>
    </row>
    <row r="65" spans="8:24" x14ac:dyDescent="0.25">
      <c r="J65" t="s">
        <v>118</v>
      </c>
      <c r="K65" s="124" t="s">
        <v>199</v>
      </c>
      <c r="L65" s="124"/>
      <c r="M65" s="8">
        <f>K62-M$62</f>
        <v>1.7142857142857142</v>
      </c>
      <c r="N65" s="7">
        <f>N64</f>
        <v>1.7727784219505081</v>
      </c>
      <c r="O65" s="6"/>
      <c r="P65" s="6" t="str">
        <f t="shared" ref="P65:P75" si="4">IF(M65&gt;N65,"better","not")</f>
        <v>not</v>
      </c>
      <c r="S65" s="124" t="s">
        <v>199</v>
      </c>
      <c r="T65" s="121"/>
      <c r="U65" s="93">
        <f>S62-U$62</f>
        <v>-1.7222222222222223</v>
      </c>
      <c r="V65" s="126">
        <f>V64</f>
        <v>1.5634436113675243</v>
      </c>
      <c r="W65" s="81"/>
      <c r="X65" s="81" t="str">
        <f t="shared" ref="X65:X75" si="5">IF(U65&gt;V65,"better","not")</f>
        <v>not</v>
      </c>
    </row>
    <row r="66" spans="8:24" x14ac:dyDescent="0.25">
      <c r="K66" s="121" t="s">
        <v>204</v>
      </c>
      <c r="L66" s="86"/>
      <c r="M66" s="93">
        <f>K62-N$62</f>
        <v>0.85714285714285721</v>
      </c>
      <c r="N66" s="126">
        <f t="shared" ref="N66:N75" si="6">N65</f>
        <v>1.7727784219505081</v>
      </c>
      <c r="O66" s="81"/>
      <c r="P66" s="81" t="str">
        <f t="shared" si="4"/>
        <v>not</v>
      </c>
      <c r="S66" s="121" t="s">
        <v>204</v>
      </c>
      <c r="T66" s="86"/>
      <c r="U66" s="93">
        <f>S62-V$62</f>
        <v>0.83333333333333326</v>
      </c>
      <c r="V66" s="126">
        <f t="shared" ref="V66:V75" si="7">V65</f>
        <v>1.5634436113675243</v>
      </c>
      <c r="W66" s="81"/>
      <c r="X66" s="81" t="str">
        <f t="shared" si="5"/>
        <v>not</v>
      </c>
    </row>
    <row r="67" spans="8:24" x14ac:dyDescent="0.25">
      <c r="K67" s="121" t="s">
        <v>205</v>
      </c>
      <c r="L67" s="121"/>
      <c r="M67" s="93">
        <f>L62-K$62</f>
        <v>0</v>
      </c>
      <c r="N67" s="126">
        <f t="shared" si="6"/>
        <v>1.7727784219505081</v>
      </c>
      <c r="O67" s="81"/>
      <c r="P67" s="81" t="str">
        <f t="shared" si="4"/>
        <v>not</v>
      </c>
      <c r="S67" s="121" t="s">
        <v>205</v>
      </c>
      <c r="T67" s="124"/>
      <c r="U67" s="93">
        <f>T62-S$62</f>
        <v>0.44444444444444464</v>
      </c>
      <c r="V67" s="126">
        <f t="shared" si="7"/>
        <v>1.5634436113675243</v>
      </c>
      <c r="W67" s="81"/>
      <c r="X67" s="81" t="str">
        <f t="shared" si="5"/>
        <v>not</v>
      </c>
    </row>
    <row r="68" spans="8:24" x14ac:dyDescent="0.25">
      <c r="K68" s="124" t="s">
        <v>202</v>
      </c>
      <c r="L68" s="124"/>
      <c r="M68" s="8">
        <f>L62-M$62</f>
        <v>1.7142857142857142</v>
      </c>
      <c r="N68" s="7">
        <f t="shared" si="6"/>
        <v>1.7727784219505081</v>
      </c>
      <c r="O68" s="6"/>
      <c r="P68" s="6" t="str">
        <f t="shared" si="4"/>
        <v>not</v>
      </c>
      <c r="S68" s="124" t="s">
        <v>202</v>
      </c>
      <c r="T68" s="124"/>
      <c r="U68" s="4">
        <f>T62-U$62</f>
        <v>-1.2777777777777777</v>
      </c>
      <c r="V68" s="3">
        <f t="shared" si="7"/>
        <v>1.5634436113675243</v>
      </c>
      <c r="X68" t="str">
        <f t="shared" si="5"/>
        <v>not</v>
      </c>
    </row>
    <row r="69" spans="8:24" x14ac:dyDescent="0.25">
      <c r="K69" s="121" t="s">
        <v>206</v>
      </c>
      <c r="L69" s="86"/>
      <c r="M69" s="93">
        <f>L62-N$62</f>
        <v>0.85714285714285721</v>
      </c>
      <c r="N69" s="126">
        <f t="shared" si="6"/>
        <v>1.7727784219505081</v>
      </c>
      <c r="O69" s="81"/>
      <c r="P69" s="81" t="str">
        <f t="shared" si="4"/>
        <v>not</v>
      </c>
      <c r="S69" s="121" t="s">
        <v>206</v>
      </c>
      <c r="T69" s="125"/>
      <c r="U69" s="4">
        <f>T62-V$62</f>
        <v>1.2777777777777779</v>
      </c>
      <c r="V69" s="3">
        <f t="shared" si="7"/>
        <v>1.5634436113675243</v>
      </c>
      <c r="X69" t="str">
        <f t="shared" si="5"/>
        <v>not</v>
      </c>
    </row>
    <row r="70" spans="8:24" x14ac:dyDescent="0.25">
      <c r="H70" s="3"/>
      <c r="K70" s="121" t="s">
        <v>207</v>
      </c>
      <c r="L70" s="121"/>
      <c r="M70" s="93">
        <f>M62-K$62</f>
        <v>-1.7142857142857142</v>
      </c>
      <c r="N70" s="126">
        <f t="shared" si="6"/>
        <v>1.7727784219505081</v>
      </c>
      <c r="O70" s="81"/>
      <c r="P70" s="81" t="str">
        <f t="shared" si="4"/>
        <v>not</v>
      </c>
      <c r="S70" s="121" t="s">
        <v>207</v>
      </c>
      <c r="T70" s="124"/>
      <c r="U70" s="8">
        <f>U62-S$62</f>
        <v>1.7222222222222223</v>
      </c>
      <c r="V70" s="7">
        <f t="shared" si="7"/>
        <v>1.5634436113675243</v>
      </c>
      <c r="W70" s="6"/>
      <c r="X70" s="6" t="str">
        <f t="shared" si="5"/>
        <v>better</v>
      </c>
    </row>
    <row r="71" spans="8:24" x14ac:dyDescent="0.25">
      <c r="H71" s="3"/>
      <c r="K71" s="121" t="s">
        <v>208</v>
      </c>
      <c r="L71" s="121"/>
      <c r="M71" s="93">
        <f>M62-L$62</f>
        <v>-1.7142857142857142</v>
      </c>
      <c r="N71" s="126">
        <f t="shared" si="6"/>
        <v>1.7727784219505081</v>
      </c>
      <c r="O71" s="81"/>
      <c r="P71" s="81" t="str">
        <f t="shared" si="4"/>
        <v>not</v>
      </c>
      <c r="S71" s="121" t="s">
        <v>208</v>
      </c>
      <c r="T71" s="121"/>
      <c r="U71" s="4">
        <f>U62-T$62</f>
        <v>1.2777777777777777</v>
      </c>
      <c r="V71" s="3">
        <f t="shared" si="7"/>
        <v>1.5634436113675243</v>
      </c>
      <c r="X71" t="str">
        <f t="shared" si="5"/>
        <v>not</v>
      </c>
    </row>
    <row r="72" spans="8:24" x14ac:dyDescent="0.25">
      <c r="H72" s="3"/>
      <c r="K72" s="121" t="s">
        <v>209</v>
      </c>
      <c r="L72" s="86"/>
      <c r="M72" s="93">
        <f>M62-N$62</f>
        <v>-0.85714285714285698</v>
      </c>
      <c r="N72" s="126">
        <f t="shared" si="6"/>
        <v>1.7727784219505081</v>
      </c>
      <c r="O72" s="81"/>
      <c r="P72" s="81" t="str">
        <f t="shared" si="4"/>
        <v>not</v>
      </c>
      <c r="S72" s="121" t="s">
        <v>209</v>
      </c>
      <c r="T72" s="125"/>
      <c r="U72" s="8">
        <f>V62-U62</f>
        <v>-2.5555555555555554</v>
      </c>
      <c r="V72" s="7">
        <f t="shared" si="7"/>
        <v>1.5634436113675243</v>
      </c>
      <c r="W72" s="6"/>
      <c r="X72" s="6" t="str">
        <f t="shared" si="5"/>
        <v>not</v>
      </c>
    </row>
    <row r="73" spans="8:24" x14ac:dyDescent="0.25">
      <c r="H73" s="3"/>
      <c r="K73" s="86" t="s">
        <v>200</v>
      </c>
      <c r="L73" s="121"/>
      <c r="M73" s="93">
        <f>K62-N$62</f>
        <v>0.85714285714285721</v>
      </c>
      <c r="N73" s="126">
        <f t="shared" si="6"/>
        <v>1.7727784219505081</v>
      </c>
      <c r="O73" s="81"/>
      <c r="P73" s="81" t="str">
        <f t="shared" si="4"/>
        <v>not</v>
      </c>
      <c r="S73" s="86" t="s">
        <v>200</v>
      </c>
      <c r="T73" s="121"/>
      <c r="U73" s="4">
        <f>S62-V$62</f>
        <v>0.83333333333333326</v>
      </c>
      <c r="V73" s="3">
        <f t="shared" si="7"/>
        <v>1.5634436113675243</v>
      </c>
      <c r="X73" t="str">
        <f t="shared" si="5"/>
        <v>not</v>
      </c>
    </row>
    <row r="74" spans="8:24" x14ac:dyDescent="0.25">
      <c r="H74" s="3"/>
      <c r="K74" s="86" t="s">
        <v>201</v>
      </c>
      <c r="L74" s="121"/>
      <c r="M74" s="93">
        <f>L62-N$62</f>
        <v>0.85714285714285721</v>
      </c>
      <c r="N74" s="126">
        <f t="shared" si="6"/>
        <v>1.7727784219505081</v>
      </c>
      <c r="O74" s="81"/>
      <c r="P74" s="81" t="str">
        <f t="shared" si="4"/>
        <v>not</v>
      </c>
      <c r="S74" s="86" t="s">
        <v>201</v>
      </c>
      <c r="T74" s="121"/>
      <c r="U74" s="4">
        <f>T62-V$62</f>
        <v>1.2777777777777779</v>
      </c>
      <c r="V74" s="3">
        <f t="shared" si="7"/>
        <v>1.5634436113675243</v>
      </c>
      <c r="X74" t="str">
        <f t="shared" si="5"/>
        <v>not</v>
      </c>
    </row>
    <row r="75" spans="8:24" x14ac:dyDescent="0.25">
      <c r="H75" s="3"/>
      <c r="K75" s="86" t="s">
        <v>210</v>
      </c>
      <c r="L75" s="121"/>
      <c r="M75" s="93">
        <f>M62-N$62</f>
        <v>-0.85714285714285698</v>
      </c>
      <c r="N75" s="126">
        <f t="shared" si="6"/>
        <v>1.7727784219505081</v>
      </c>
      <c r="O75" s="81"/>
      <c r="P75" s="81" t="str">
        <f t="shared" si="4"/>
        <v>not</v>
      </c>
      <c r="S75" s="86" t="s">
        <v>210</v>
      </c>
      <c r="T75" s="124"/>
      <c r="U75" s="8">
        <f>U62-V$62</f>
        <v>2.5555555555555554</v>
      </c>
      <c r="V75" s="7">
        <f t="shared" si="7"/>
        <v>1.5634436113675243</v>
      </c>
      <c r="W75" s="6"/>
      <c r="X75" s="6" t="str">
        <f t="shared" si="5"/>
        <v>better</v>
      </c>
    </row>
    <row r="76" spans="8:24" x14ac:dyDescent="0.25">
      <c r="H76" s="3"/>
    </row>
    <row r="77" spans="8:24" x14ac:dyDescent="0.25">
      <c r="H77" s="21"/>
      <c r="I77" s="21"/>
      <c r="M77" t="s">
        <v>36</v>
      </c>
      <c r="N77" s="3">
        <f>SQRT((E16*(E16+1))/(6*E15))</f>
        <v>0.69006555934235425</v>
      </c>
      <c r="S77" t="s">
        <v>36</v>
      </c>
      <c r="T77" s="3">
        <f>SQRT((M16*(M16+1))/(6*M15))</f>
        <v>0.6085806194501846</v>
      </c>
    </row>
    <row r="78" spans="8:24" x14ac:dyDescent="0.25">
      <c r="H78" s="2"/>
      <c r="J78" s="3"/>
      <c r="O78" t="s">
        <v>46</v>
      </c>
      <c r="P78" t="s">
        <v>23</v>
      </c>
      <c r="Q78" t="s">
        <v>45</v>
      </c>
      <c r="U78" t="s">
        <v>46</v>
      </c>
      <c r="V78" t="s">
        <v>23</v>
      </c>
      <c r="W78" t="s">
        <v>45</v>
      </c>
    </row>
    <row r="79" spans="8:24" x14ac:dyDescent="0.25">
      <c r="H79" s="2"/>
      <c r="J79" s="3"/>
      <c r="L79">
        <v>1</v>
      </c>
      <c r="M79" s="13" t="s">
        <v>67</v>
      </c>
      <c r="N79">
        <f>M64</f>
        <v>0</v>
      </c>
      <c r="O79" s="3">
        <f>N79/N$77</f>
        <v>0</v>
      </c>
      <c r="P79" s="3">
        <f>(_xlfn.NORM.S.DIST(-1*O79,TRUE))*2</f>
        <v>1</v>
      </c>
      <c r="Q79" s="3">
        <f>0.05/($E$16-L79)</f>
        <v>1.6666666666666666E-2</v>
      </c>
      <c r="S79" s="17" t="s">
        <v>67</v>
      </c>
      <c r="T79" s="6">
        <f>U64</f>
        <v>-0.44444444444444464</v>
      </c>
      <c r="U79" s="7">
        <f>T79/T$77</f>
        <v>-0.73029674334022177</v>
      </c>
      <c r="V79" s="6">
        <f>(_xlfn.NORM.S.DIST(-1*U79,TRUE))*2</f>
        <v>1.5347911815478585</v>
      </c>
      <c r="W79" s="3">
        <f>0.05/(L79)</f>
        <v>0.05</v>
      </c>
    </row>
    <row r="80" spans="8:24" x14ac:dyDescent="0.25">
      <c r="H80" s="2"/>
      <c r="L80">
        <v>2</v>
      </c>
      <c r="M80" s="17" t="s">
        <v>118</v>
      </c>
      <c r="N80" s="6">
        <f>M65</f>
        <v>1.7142857142857142</v>
      </c>
      <c r="O80" s="7">
        <f t="shared" ref="O80:O83" si="8">N80/N$77</f>
        <v>2.4842360136324748</v>
      </c>
      <c r="P80" s="7">
        <f t="shared" ref="P80:P83" si="9">(_xlfn.NORM.S.DIST(-1*O80,TRUE))*2</f>
        <v>1.2982972930050135E-2</v>
      </c>
      <c r="Q80" s="3">
        <f t="shared" ref="Q80:Q83" si="10">0.05/($E$16-L80)</f>
        <v>2.5000000000000001E-2</v>
      </c>
      <c r="S80" s="13" t="s">
        <v>118</v>
      </c>
      <c r="T80">
        <f>U65</f>
        <v>-1.7222222222222223</v>
      </c>
      <c r="U80" s="3">
        <f t="shared" ref="U80:U83" si="11">T80/T$77</f>
        <v>-2.8298998804433584</v>
      </c>
      <c r="V80">
        <f t="shared" ref="V80:V83" si="12">(_xlfn.NORM.S.DIST(-1*U80,TRUE))*2</f>
        <v>1.9953437427528742</v>
      </c>
      <c r="W80" s="3">
        <f t="shared" ref="W80:W83" si="13">0.05/(L80)</f>
        <v>2.5000000000000001E-2</v>
      </c>
    </row>
    <row r="81" spans="8:23" x14ac:dyDescent="0.25">
      <c r="H81" s="13"/>
      <c r="I81" s="13"/>
      <c r="L81">
        <v>3</v>
      </c>
      <c r="M81" s="13" t="s">
        <v>164</v>
      </c>
      <c r="N81">
        <f>M66</f>
        <v>0.85714285714285721</v>
      </c>
      <c r="O81" s="3">
        <f t="shared" si="8"/>
        <v>1.2421180068162376</v>
      </c>
      <c r="P81" s="3">
        <f t="shared" si="9"/>
        <v>0.21419302571912829</v>
      </c>
      <c r="Q81" s="3">
        <f t="shared" si="10"/>
        <v>0.05</v>
      </c>
      <c r="S81" s="13" t="s">
        <v>164</v>
      </c>
      <c r="T81">
        <f>U66</f>
        <v>0.83333333333333326</v>
      </c>
      <c r="U81" s="3">
        <f t="shared" si="11"/>
        <v>1.3693063937629151</v>
      </c>
      <c r="V81">
        <f t="shared" si="12"/>
        <v>0.17090352023079747</v>
      </c>
      <c r="W81" s="3">
        <f t="shared" si="13"/>
        <v>1.6666666666666666E-2</v>
      </c>
    </row>
    <row r="82" spans="8:23" x14ac:dyDescent="0.25">
      <c r="H82" s="2"/>
      <c r="L82">
        <v>4</v>
      </c>
      <c r="M82" s="13" t="s">
        <v>65</v>
      </c>
      <c r="N82" s="3">
        <f>M67</f>
        <v>0</v>
      </c>
      <c r="O82" s="3">
        <f t="shared" si="8"/>
        <v>0</v>
      </c>
      <c r="P82" s="3">
        <f t="shared" si="9"/>
        <v>1</v>
      </c>
      <c r="Q82" s="3" t="e">
        <f t="shared" si="10"/>
        <v>#DIV/0!</v>
      </c>
      <c r="S82" s="17" t="s">
        <v>65</v>
      </c>
      <c r="T82" s="6">
        <f>U67</f>
        <v>0.44444444444444464</v>
      </c>
      <c r="U82" s="7">
        <f t="shared" si="11"/>
        <v>0.73029674334022177</v>
      </c>
      <c r="V82" s="6">
        <f t="shared" si="12"/>
        <v>0.4652088184521414</v>
      </c>
      <c r="W82" s="3">
        <f t="shared" si="13"/>
        <v>1.2500000000000001E-2</v>
      </c>
    </row>
    <row r="83" spans="8:23" x14ac:dyDescent="0.25">
      <c r="H83" s="2"/>
      <c r="L83">
        <v>5</v>
      </c>
      <c r="M83" s="13" t="s">
        <v>167</v>
      </c>
      <c r="N83" s="3">
        <f>M68</f>
        <v>1.7142857142857142</v>
      </c>
      <c r="O83" s="3">
        <f t="shared" si="8"/>
        <v>2.4842360136324748</v>
      </c>
      <c r="P83" s="3">
        <f t="shared" si="9"/>
        <v>1.2982972930050135E-2</v>
      </c>
      <c r="Q83" s="3">
        <f t="shared" si="10"/>
        <v>-0.05</v>
      </c>
      <c r="S83" s="13" t="s">
        <v>167</v>
      </c>
      <c r="T83">
        <f>U68</f>
        <v>-1.2777777777777777</v>
      </c>
      <c r="U83" s="3">
        <f t="shared" si="11"/>
        <v>-2.0996031371031365</v>
      </c>
      <c r="V83">
        <f t="shared" si="12"/>
        <v>1.964236233409022</v>
      </c>
      <c r="W83" s="3">
        <f t="shared" si="13"/>
        <v>0.01</v>
      </c>
    </row>
    <row r="84" spans="8:23" x14ac:dyDescent="0.25">
      <c r="H84" s="2"/>
    </row>
  </sheetData>
  <mergeCells count="2">
    <mergeCell ref="D2:I2"/>
    <mergeCell ref="L2:Q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99"/>
  <sheetViews>
    <sheetView topLeftCell="C57" zoomScale="90" zoomScaleNormal="90" workbookViewId="0">
      <selection activeCell="I69" sqref="I69"/>
    </sheetView>
  </sheetViews>
  <sheetFormatPr defaultRowHeight="15" x14ac:dyDescent="0.25"/>
  <cols>
    <col min="7" max="7" width="18.85546875" bestFit="1" customWidth="1"/>
    <col min="8" max="8" width="6" bestFit="1" customWidth="1"/>
    <col min="9" max="9" width="6.85546875" customWidth="1"/>
    <col min="10" max="10" width="10" bestFit="1" customWidth="1"/>
    <col min="11" max="11" width="12.7109375" bestFit="1" customWidth="1"/>
    <col min="12" max="12" width="10.7109375" bestFit="1" customWidth="1"/>
    <col min="13" max="13" width="17" bestFit="1" customWidth="1"/>
    <col min="14" max="14" width="15.5703125" bestFit="1" customWidth="1"/>
    <col min="15" max="16" width="13.85546875" bestFit="1" customWidth="1"/>
    <col min="17" max="17" width="13.28515625" bestFit="1" customWidth="1"/>
  </cols>
  <sheetData>
    <row r="1" spans="3:14" x14ac:dyDescent="0.25">
      <c r="G1" s="18" t="s">
        <v>42</v>
      </c>
      <c r="H1" t="s">
        <v>22</v>
      </c>
      <c r="I1" t="s">
        <v>43</v>
      </c>
      <c r="J1" t="s">
        <v>44</v>
      </c>
    </row>
    <row r="2" spans="3:14" x14ac:dyDescent="0.25">
      <c r="C2">
        <v>1</v>
      </c>
      <c r="D2" t="s">
        <v>0</v>
      </c>
      <c r="E2" t="s">
        <v>1</v>
      </c>
      <c r="G2">
        <v>0.76300000000000001</v>
      </c>
      <c r="H2">
        <v>0.76800000000000002</v>
      </c>
      <c r="I2">
        <v>0.77100000000000002</v>
      </c>
      <c r="J2">
        <v>0.79800000000000004</v>
      </c>
      <c r="M2" t="s">
        <v>28</v>
      </c>
      <c r="N2" s="2">
        <f>SUM(G33:J33)</f>
        <v>26.104591836734695</v>
      </c>
    </row>
    <row r="3" spans="3:14" x14ac:dyDescent="0.25">
      <c r="C3">
        <v>2</v>
      </c>
      <c r="D3" t="s">
        <v>2</v>
      </c>
      <c r="E3" t="s">
        <v>3</v>
      </c>
      <c r="G3">
        <v>0.59899999999999998</v>
      </c>
      <c r="H3">
        <v>0.59099999999999997</v>
      </c>
      <c r="I3">
        <v>0.59</v>
      </c>
      <c r="J3">
        <v>0.56899999999999995</v>
      </c>
      <c r="M3" t="s">
        <v>25</v>
      </c>
      <c r="N3">
        <v>14</v>
      </c>
    </row>
    <row r="4" spans="3:14" x14ac:dyDescent="0.25">
      <c r="C4">
        <v>3</v>
      </c>
      <c r="D4" t="s">
        <v>2</v>
      </c>
      <c r="E4" t="s">
        <v>3</v>
      </c>
      <c r="F4" t="s">
        <v>4</v>
      </c>
      <c r="G4">
        <v>0.95399999999999996</v>
      </c>
      <c r="H4">
        <v>0.97099999999999997</v>
      </c>
      <c r="I4">
        <v>0.96799999999999997</v>
      </c>
      <c r="J4">
        <v>0.96699999999999997</v>
      </c>
      <c r="M4" t="s">
        <v>26</v>
      </c>
      <c r="N4">
        <v>4</v>
      </c>
    </row>
    <row r="5" spans="3:14" x14ac:dyDescent="0.25">
      <c r="C5">
        <v>4</v>
      </c>
      <c r="D5" t="s">
        <v>5</v>
      </c>
      <c r="G5">
        <v>0.628</v>
      </c>
      <c r="H5">
        <v>0.66100000000000003</v>
      </c>
      <c r="I5">
        <v>0.65400000000000003</v>
      </c>
      <c r="J5">
        <v>0.65700000000000003</v>
      </c>
      <c r="M5" s="6" t="s">
        <v>27</v>
      </c>
      <c r="N5" s="7">
        <f>((12*N3)/(N4*(N4+1))*(N2-((N4*(N4+1)^2)/4)))</f>
        <v>9.2785714285714374</v>
      </c>
    </row>
    <row r="6" spans="3:14" x14ac:dyDescent="0.25">
      <c r="C6">
        <v>5</v>
      </c>
      <c r="D6" t="s">
        <v>6</v>
      </c>
      <c r="G6">
        <v>0.88200000000000001</v>
      </c>
      <c r="H6">
        <v>0.88800000000000001</v>
      </c>
      <c r="I6">
        <v>0.88600000000000001</v>
      </c>
      <c r="J6">
        <v>0.89800000000000002</v>
      </c>
      <c r="M6" s="6" t="s">
        <v>29</v>
      </c>
      <c r="N6" s="8">
        <f>((N3-1)*N5)/(N3*(N4-1)-N5)</f>
        <v>3.686313032089068</v>
      </c>
    </row>
    <row r="7" spans="3:14" x14ac:dyDescent="0.25">
      <c r="C7">
        <v>6</v>
      </c>
      <c r="D7" t="s">
        <v>7</v>
      </c>
      <c r="G7">
        <v>0.93600000000000005</v>
      </c>
      <c r="H7">
        <v>0.93100000000000005</v>
      </c>
      <c r="I7">
        <v>0.91600000000000004</v>
      </c>
      <c r="J7">
        <v>0.93100000000000005</v>
      </c>
    </row>
    <row r="8" spans="3:14" x14ac:dyDescent="0.25">
      <c r="C8">
        <v>7</v>
      </c>
      <c r="D8" t="s">
        <v>8</v>
      </c>
      <c r="E8" t="s">
        <v>9</v>
      </c>
      <c r="G8">
        <v>0.66100000000000003</v>
      </c>
      <c r="H8">
        <v>0.66800000000000004</v>
      </c>
      <c r="I8">
        <v>0.60899999999999999</v>
      </c>
      <c r="J8">
        <v>0.68500000000000005</v>
      </c>
    </row>
    <row r="9" spans="3:14" x14ac:dyDescent="0.25">
      <c r="C9">
        <v>8</v>
      </c>
      <c r="D9" t="s">
        <v>10</v>
      </c>
      <c r="E9" t="s">
        <v>3</v>
      </c>
      <c r="G9">
        <v>0.58299999999999996</v>
      </c>
      <c r="H9">
        <v>0.58299999999999996</v>
      </c>
      <c r="I9">
        <v>0.56299999999999994</v>
      </c>
      <c r="J9">
        <v>0.625</v>
      </c>
    </row>
    <row r="10" spans="3:14" x14ac:dyDescent="0.25">
      <c r="C10">
        <v>9</v>
      </c>
      <c r="D10" t="s">
        <v>11</v>
      </c>
      <c r="G10">
        <v>0.77500000000000002</v>
      </c>
      <c r="H10">
        <v>0.83799999999999997</v>
      </c>
      <c r="I10">
        <v>0.86599999999999999</v>
      </c>
      <c r="J10">
        <v>0.875</v>
      </c>
    </row>
    <row r="11" spans="3:14" x14ac:dyDescent="0.25">
      <c r="C11">
        <v>10</v>
      </c>
      <c r="D11" t="s">
        <v>12</v>
      </c>
      <c r="G11">
        <v>1</v>
      </c>
      <c r="H11">
        <v>1</v>
      </c>
      <c r="I11">
        <v>1</v>
      </c>
      <c r="J11">
        <v>1</v>
      </c>
    </row>
    <row r="12" spans="3:14" x14ac:dyDescent="0.25">
      <c r="C12">
        <v>11</v>
      </c>
      <c r="D12" t="s">
        <v>13</v>
      </c>
      <c r="E12" t="s">
        <v>14</v>
      </c>
      <c r="G12">
        <v>0.94</v>
      </c>
      <c r="H12">
        <v>0.96199999999999997</v>
      </c>
      <c r="I12">
        <v>0.96499999999999997</v>
      </c>
      <c r="J12">
        <v>0.96199999999999997</v>
      </c>
    </row>
    <row r="13" spans="3:14" x14ac:dyDescent="0.25">
      <c r="C13">
        <v>12</v>
      </c>
      <c r="D13" t="s">
        <v>15</v>
      </c>
      <c r="G13">
        <v>0.61899999999999999</v>
      </c>
      <c r="H13">
        <v>0.66600000000000004</v>
      </c>
      <c r="I13">
        <v>0.61399999999999999</v>
      </c>
      <c r="J13">
        <v>0.66900000000000004</v>
      </c>
    </row>
    <row r="14" spans="3:14" x14ac:dyDescent="0.25">
      <c r="C14">
        <v>13</v>
      </c>
      <c r="D14" t="s">
        <v>16</v>
      </c>
      <c r="G14">
        <v>0.97199999999999998</v>
      </c>
      <c r="H14">
        <v>0.98099999999999998</v>
      </c>
      <c r="I14">
        <v>0.97499999999999998</v>
      </c>
      <c r="J14">
        <v>0.97499999999999998</v>
      </c>
    </row>
    <row r="15" spans="3:14" x14ac:dyDescent="0.25">
      <c r="C15">
        <v>14</v>
      </c>
      <c r="D15" t="s">
        <v>17</v>
      </c>
      <c r="G15">
        <v>0.95699999999999996</v>
      </c>
      <c r="H15">
        <v>0.97799999999999998</v>
      </c>
      <c r="I15">
        <v>0.94599999999999995</v>
      </c>
      <c r="J15">
        <v>0.97</v>
      </c>
    </row>
    <row r="17" spans="6:13" x14ac:dyDescent="0.25">
      <c r="G17">
        <f t="shared" ref="G17:J28" si="0">_xlfn.RANK.AVG(G2,$G2:$J2,0)</f>
        <v>4</v>
      </c>
      <c r="H17">
        <f t="shared" si="0"/>
        <v>3</v>
      </c>
      <c r="I17">
        <f t="shared" si="0"/>
        <v>2</v>
      </c>
      <c r="J17">
        <f t="shared" si="0"/>
        <v>1</v>
      </c>
    </row>
    <row r="18" spans="6:13" x14ac:dyDescent="0.25">
      <c r="G18">
        <f t="shared" si="0"/>
        <v>1</v>
      </c>
      <c r="H18">
        <f t="shared" si="0"/>
        <v>2</v>
      </c>
      <c r="I18">
        <f t="shared" si="0"/>
        <v>3</v>
      </c>
      <c r="J18">
        <f t="shared" si="0"/>
        <v>4</v>
      </c>
    </row>
    <row r="19" spans="6:13" x14ac:dyDescent="0.25">
      <c r="G19">
        <f t="shared" si="0"/>
        <v>4</v>
      </c>
      <c r="H19">
        <f t="shared" si="0"/>
        <v>1</v>
      </c>
      <c r="I19">
        <f t="shared" si="0"/>
        <v>2</v>
      </c>
      <c r="J19">
        <f t="shared" si="0"/>
        <v>3</v>
      </c>
    </row>
    <row r="20" spans="6:13" x14ac:dyDescent="0.25">
      <c r="G20">
        <f t="shared" si="0"/>
        <v>4</v>
      </c>
      <c r="H20">
        <f t="shared" si="0"/>
        <v>1</v>
      </c>
      <c r="I20">
        <f t="shared" si="0"/>
        <v>3</v>
      </c>
      <c r="J20">
        <f t="shared" si="0"/>
        <v>2</v>
      </c>
    </row>
    <row r="21" spans="6:13" x14ac:dyDescent="0.25">
      <c r="G21">
        <f t="shared" si="0"/>
        <v>4</v>
      </c>
      <c r="H21">
        <f t="shared" si="0"/>
        <v>2</v>
      </c>
      <c r="I21">
        <f t="shared" si="0"/>
        <v>3</v>
      </c>
      <c r="J21">
        <f t="shared" si="0"/>
        <v>1</v>
      </c>
    </row>
    <row r="22" spans="6:13" x14ac:dyDescent="0.25">
      <c r="G22">
        <f t="shared" si="0"/>
        <v>1</v>
      </c>
      <c r="H22">
        <f t="shared" si="0"/>
        <v>2.5</v>
      </c>
      <c r="I22">
        <f t="shared" si="0"/>
        <v>4</v>
      </c>
      <c r="J22">
        <f t="shared" si="0"/>
        <v>2.5</v>
      </c>
      <c r="L22" t="s">
        <v>28</v>
      </c>
      <c r="M22" s="2">
        <f>SUM(G33:J33)</f>
        <v>26.104591836734695</v>
      </c>
    </row>
    <row r="23" spans="6:13" x14ac:dyDescent="0.25">
      <c r="G23">
        <f t="shared" si="0"/>
        <v>3</v>
      </c>
      <c r="H23">
        <f t="shared" si="0"/>
        <v>2</v>
      </c>
      <c r="I23">
        <f t="shared" si="0"/>
        <v>4</v>
      </c>
      <c r="J23">
        <f t="shared" si="0"/>
        <v>1</v>
      </c>
      <c r="L23" t="s">
        <v>25</v>
      </c>
      <c r="M23">
        <f>COUNT(G2:G15)</f>
        <v>14</v>
      </c>
    </row>
    <row r="24" spans="6:13" x14ac:dyDescent="0.25">
      <c r="G24">
        <f t="shared" si="0"/>
        <v>2.5</v>
      </c>
      <c r="H24">
        <f t="shared" si="0"/>
        <v>2.5</v>
      </c>
      <c r="I24">
        <f t="shared" si="0"/>
        <v>4</v>
      </c>
      <c r="J24">
        <f t="shared" si="0"/>
        <v>1</v>
      </c>
      <c r="L24" t="s">
        <v>26</v>
      </c>
      <c r="M24">
        <f>COUNT(G2:J2)</f>
        <v>4</v>
      </c>
    </row>
    <row r="25" spans="6:13" x14ac:dyDescent="0.25">
      <c r="G25">
        <f t="shared" si="0"/>
        <v>4</v>
      </c>
      <c r="H25">
        <f t="shared" si="0"/>
        <v>3</v>
      </c>
      <c r="I25">
        <f t="shared" si="0"/>
        <v>2</v>
      </c>
      <c r="J25">
        <f t="shared" si="0"/>
        <v>1</v>
      </c>
      <c r="L25" s="6" t="s">
        <v>27</v>
      </c>
      <c r="M25" s="7">
        <f>((12*M23)/(M24*(M24+1))*(M22-((M24*(M24+1)^2)/4)))</f>
        <v>9.2785714285714374</v>
      </c>
    </row>
    <row r="26" spans="6:13" x14ac:dyDescent="0.25">
      <c r="G26">
        <f t="shared" si="0"/>
        <v>2.5</v>
      </c>
      <c r="H26">
        <f t="shared" si="0"/>
        <v>2.5</v>
      </c>
      <c r="I26">
        <f t="shared" si="0"/>
        <v>2.5</v>
      </c>
      <c r="J26">
        <f t="shared" si="0"/>
        <v>2.5</v>
      </c>
      <c r="L26" s="6" t="s">
        <v>29</v>
      </c>
      <c r="M26" s="8">
        <f>((M23-1)*M25)/(M23*(M24-1)-M25)</f>
        <v>3.686313032089068</v>
      </c>
    </row>
    <row r="27" spans="6:13" x14ac:dyDescent="0.25">
      <c r="G27">
        <f t="shared" si="0"/>
        <v>4</v>
      </c>
      <c r="H27">
        <f t="shared" si="0"/>
        <v>2.5</v>
      </c>
      <c r="I27">
        <f t="shared" si="0"/>
        <v>1</v>
      </c>
      <c r="J27">
        <f t="shared" si="0"/>
        <v>2.5</v>
      </c>
      <c r="L27" t="s">
        <v>34</v>
      </c>
      <c r="M27" s="5">
        <f>M24-1</f>
        <v>3</v>
      </c>
    </row>
    <row r="28" spans="6:13" x14ac:dyDescent="0.25">
      <c r="G28">
        <f t="shared" si="0"/>
        <v>3</v>
      </c>
      <c r="H28">
        <f t="shared" si="0"/>
        <v>2</v>
      </c>
      <c r="I28">
        <f t="shared" si="0"/>
        <v>4</v>
      </c>
      <c r="J28">
        <f t="shared" si="0"/>
        <v>1</v>
      </c>
      <c r="L28" t="s">
        <v>35</v>
      </c>
      <c r="M28">
        <f>(M24-1)*(M23-1)</f>
        <v>39</v>
      </c>
    </row>
    <row r="29" spans="6:13" x14ac:dyDescent="0.25">
      <c r="G29">
        <f>_xlfn.RANK.AVG(G14,$G14:$J14,0)</f>
        <v>4</v>
      </c>
      <c r="H29">
        <f>_xlfn.RANK.AVG(H14,$G14:$J14,0)</f>
        <v>1</v>
      </c>
      <c r="I29">
        <v>2</v>
      </c>
      <c r="J29">
        <v>3</v>
      </c>
      <c r="L29" t="s">
        <v>30</v>
      </c>
    </row>
    <row r="30" spans="6:13" x14ac:dyDescent="0.25">
      <c r="G30">
        <f>_xlfn.RANK.AVG(G15,$G15:$J15,0)</f>
        <v>3</v>
      </c>
      <c r="H30">
        <f>_xlfn.RANK.AVG(H15,$G15:$J15,0)</f>
        <v>1</v>
      </c>
      <c r="I30">
        <f>_xlfn.RANK.AVG(I15,$G15:$J15,0)</f>
        <v>4</v>
      </c>
      <c r="J30">
        <f>_xlfn.RANK.AVG(J15,$G15:$J15,0)</f>
        <v>2</v>
      </c>
      <c r="L30" t="s">
        <v>31</v>
      </c>
    </row>
    <row r="31" spans="6:13" ht="15.75" customHeight="1" x14ac:dyDescent="0.25">
      <c r="L31" t="s">
        <v>32</v>
      </c>
    </row>
    <row r="32" spans="6:13" x14ac:dyDescent="0.25">
      <c r="F32" t="s">
        <v>19</v>
      </c>
      <c r="G32" s="3">
        <f>AVERAGE(G17:G30)</f>
        <v>3.1428571428571428</v>
      </c>
      <c r="H32" s="3">
        <f>AVERAGE(H17:H30)</f>
        <v>2</v>
      </c>
      <c r="I32" s="3">
        <f>AVERAGE(I17:I30)</f>
        <v>2.8928571428571428</v>
      </c>
      <c r="J32" s="3">
        <f>AVERAGE(J17:J30)</f>
        <v>1.9642857142857142</v>
      </c>
    </row>
    <row r="33" spans="6:18" x14ac:dyDescent="0.25">
      <c r="F33" t="s">
        <v>20</v>
      </c>
      <c r="G33" s="3">
        <f>G32^2</f>
        <v>9.8775510204081627</v>
      </c>
      <c r="H33" s="3">
        <f>H32^2</f>
        <v>4</v>
      </c>
      <c r="I33" s="3">
        <f>I32^2</f>
        <v>8.3686224489795915</v>
      </c>
      <c r="J33" s="3">
        <f>J32^2</f>
        <v>3.8584183673469385</v>
      </c>
      <c r="L33" t="s">
        <v>37</v>
      </c>
      <c r="M33">
        <f>_xlfn.CHISQ.DIST.RT(M25,3)</f>
        <v>2.5807496707063157E-2</v>
      </c>
    </row>
    <row r="34" spans="6:18" x14ac:dyDescent="0.25">
      <c r="L34" s="6" t="s">
        <v>23</v>
      </c>
      <c r="M34">
        <f>_xlfn.F.DIST.RT(M26,3,39)</f>
        <v>1.9823006192249051E-2</v>
      </c>
    </row>
    <row r="36" spans="6:18" x14ac:dyDescent="0.25">
      <c r="L36" t="s">
        <v>33</v>
      </c>
    </row>
    <row r="39" spans="6:18" x14ac:dyDescent="0.25">
      <c r="O39" s="9" t="s">
        <v>142</v>
      </c>
      <c r="P39" s="9"/>
      <c r="Q39" s="9"/>
      <c r="R39" s="9"/>
    </row>
    <row r="40" spans="6:18" x14ac:dyDescent="0.25">
      <c r="O40" s="76">
        <v>3.1428571428571428</v>
      </c>
      <c r="P40" s="46">
        <v>2</v>
      </c>
      <c r="Q40" s="46">
        <v>2.8929999999999998</v>
      </c>
      <c r="R40" s="76">
        <v>1.964</v>
      </c>
    </row>
    <row r="42" spans="6:18" x14ac:dyDescent="0.25">
      <c r="O42" s="22" t="s">
        <v>145</v>
      </c>
      <c r="P42" s="22"/>
      <c r="Q42" s="46">
        <f>N79-Q79</f>
        <v>1.1788571428571428</v>
      </c>
      <c r="R42" s="9"/>
    </row>
    <row r="44" spans="6:18" ht="30" x14ac:dyDescent="0.25">
      <c r="I44" s="15" t="s">
        <v>149</v>
      </c>
      <c r="M44" s="77" t="s">
        <v>155</v>
      </c>
      <c r="O44" s="16" t="s">
        <v>140</v>
      </c>
    </row>
    <row r="45" spans="6:18" x14ac:dyDescent="0.25">
      <c r="O45" s="9"/>
      <c r="P45" s="9">
        <v>4</v>
      </c>
      <c r="Q45" s="9">
        <v>5</v>
      </c>
    </row>
    <row r="46" spans="6:18" x14ac:dyDescent="0.25">
      <c r="G46" t="s">
        <v>143</v>
      </c>
      <c r="I46" s="74" t="s">
        <v>137</v>
      </c>
      <c r="J46" s="4">
        <f>SQRT((M24*(M24+1))/(6*M23))*P46</f>
        <v>1.2535436437023908</v>
      </c>
      <c r="O46" s="9" t="s">
        <v>138</v>
      </c>
      <c r="P46" s="9">
        <v>2.569</v>
      </c>
      <c r="Q46" s="9">
        <v>2.7280000000000002</v>
      </c>
    </row>
    <row r="47" spans="6:18" x14ac:dyDescent="0.25">
      <c r="O47" s="9" t="s">
        <v>139</v>
      </c>
      <c r="P47" s="9">
        <v>2.2909999999999999</v>
      </c>
      <c r="Q47" s="9">
        <v>2.4590000000000001</v>
      </c>
    </row>
    <row r="48" spans="6:18" x14ac:dyDescent="0.25">
      <c r="G48" t="s">
        <v>144</v>
      </c>
      <c r="I48" t="s">
        <v>151</v>
      </c>
    </row>
    <row r="49" spans="7:17" x14ac:dyDescent="0.25">
      <c r="O49" s="16" t="s">
        <v>141</v>
      </c>
    </row>
    <row r="50" spans="7:17" x14ac:dyDescent="0.25">
      <c r="G50" t="s">
        <v>146</v>
      </c>
      <c r="I50" t="s">
        <v>148</v>
      </c>
      <c r="O50" s="9"/>
      <c r="P50" s="9">
        <v>4</v>
      </c>
      <c r="Q50" s="9">
        <v>5</v>
      </c>
    </row>
    <row r="51" spans="7:17" x14ac:dyDescent="0.25">
      <c r="O51" s="9" t="s">
        <v>138</v>
      </c>
      <c r="P51" s="9">
        <v>2.3940000000000001</v>
      </c>
      <c r="Q51" s="9">
        <v>2.4980000000000002</v>
      </c>
    </row>
    <row r="52" spans="7:17" x14ac:dyDescent="0.25">
      <c r="G52" s="16" t="s">
        <v>147</v>
      </c>
      <c r="H52" s="16"/>
      <c r="I52" s="16" t="str">
        <f>IF(Q42&lt;J46,"Not Powerfull","Powerfull")</f>
        <v>Not Powerfull</v>
      </c>
      <c r="J52" s="16"/>
      <c r="O52" s="9" t="s">
        <v>139</v>
      </c>
      <c r="P52" s="9">
        <v>2.1280000000000001</v>
      </c>
      <c r="Q52" s="9">
        <v>2.2410000000000001</v>
      </c>
    </row>
    <row r="55" spans="7:17" x14ac:dyDescent="0.25">
      <c r="I55" s="16" t="s">
        <v>150</v>
      </c>
    </row>
    <row r="57" spans="7:17" x14ac:dyDescent="0.25">
      <c r="G57" t="s">
        <v>143</v>
      </c>
      <c r="I57" s="74" t="s">
        <v>137</v>
      </c>
      <c r="J57" s="4">
        <f>SQRT((M24*(M24+1))/(6*M23))*P47</f>
        <v>1.1178935335625448</v>
      </c>
      <c r="P57">
        <f>N79-O79</f>
        <v>1.1428571428571428</v>
      </c>
      <c r="Q57">
        <f>N79-Q79</f>
        <v>1.1788571428571428</v>
      </c>
    </row>
    <row r="59" spans="7:17" x14ac:dyDescent="0.25">
      <c r="G59" t="s">
        <v>144</v>
      </c>
      <c r="I59" t="s">
        <v>151</v>
      </c>
    </row>
    <row r="61" spans="7:17" x14ac:dyDescent="0.25">
      <c r="G61" t="s">
        <v>146</v>
      </c>
      <c r="I61" t="s">
        <v>148</v>
      </c>
      <c r="Q61">
        <f>P46/3</f>
        <v>0.85633333333333328</v>
      </c>
    </row>
    <row r="63" spans="7:17" x14ac:dyDescent="0.25">
      <c r="G63" s="16" t="s">
        <v>147</v>
      </c>
      <c r="H63" s="16"/>
      <c r="I63" s="16" t="str">
        <f>IF(Q42&lt;J57,"Not Powerfull","Powerfull")</f>
        <v>Powerfull</v>
      </c>
      <c r="J63" s="16"/>
    </row>
    <row r="65" spans="7:17" x14ac:dyDescent="0.25">
      <c r="I65" t="s">
        <v>152</v>
      </c>
    </row>
    <row r="67" spans="7:17" x14ac:dyDescent="0.25">
      <c r="J67" s="4"/>
    </row>
    <row r="69" spans="7:17" x14ac:dyDescent="0.25">
      <c r="I69" s="15" t="s">
        <v>156</v>
      </c>
    </row>
    <row r="71" spans="7:17" x14ac:dyDescent="0.25">
      <c r="G71" t="s">
        <v>143</v>
      </c>
      <c r="I71" s="74" t="s">
        <v>137</v>
      </c>
      <c r="J71" s="3">
        <f>SQRT((M24*(M24+1))/(6*M23))*(P51)</f>
        <v>1.1681523873193944</v>
      </c>
    </row>
    <row r="73" spans="7:17" x14ac:dyDescent="0.25">
      <c r="G73" t="s">
        <v>144</v>
      </c>
      <c r="I73" t="s">
        <v>151</v>
      </c>
    </row>
    <row r="75" spans="7:17" x14ac:dyDescent="0.25">
      <c r="G75" t="s">
        <v>146</v>
      </c>
      <c r="I75" t="s">
        <v>148</v>
      </c>
    </row>
    <row r="77" spans="7:17" x14ac:dyDescent="0.25">
      <c r="G77" s="16"/>
      <c r="H77" s="16"/>
      <c r="I77" s="16"/>
      <c r="J77" s="16"/>
    </row>
    <row r="78" spans="7:17" x14ac:dyDescent="0.25">
      <c r="I78" t="s">
        <v>154</v>
      </c>
      <c r="N78" s="22" t="s">
        <v>41</v>
      </c>
      <c r="O78" s="22" t="s">
        <v>22</v>
      </c>
      <c r="P78" s="22" t="s">
        <v>43</v>
      </c>
      <c r="Q78" s="22" t="s">
        <v>38</v>
      </c>
    </row>
    <row r="79" spans="7:17" x14ac:dyDescent="0.25">
      <c r="G79" s="83" t="s">
        <v>153</v>
      </c>
      <c r="H79" s="7">
        <f>N79-Q79</f>
        <v>1.1788571428571428</v>
      </c>
      <c r="I79" s="6">
        <f>SQRT((M24*(M24+1))/(6*M23))*P51</f>
        <v>1.1681523873193944</v>
      </c>
      <c r="J79" s="6"/>
      <c r="K79" s="6" t="str">
        <f>IF(H79&gt;I79,"better","not")</f>
        <v>better</v>
      </c>
      <c r="N79" s="76">
        <v>3.1428571428571428</v>
      </c>
      <c r="O79" s="46">
        <v>2</v>
      </c>
      <c r="P79" s="46">
        <v>2.8929999999999998</v>
      </c>
      <c r="Q79" s="76">
        <v>1.964</v>
      </c>
    </row>
    <row r="80" spans="7:17" x14ac:dyDescent="0.25">
      <c r="G80" s="22" t="s">
        <v>157</v>
      </c>
      <c r="H80" s="4">
        <f>N79-P79</f>
        <v>0.249857142857143</v>
      </c>
      <c r="I80">
        <f>SQRT((M24*(M24+1))/(6*M23))*P51</f>
        <v>1.1681523873193944</v>
      </c>
      <c r="K80" t="str">
        <f t="shared" ref="K80:K81" si="1">IF(H80&gt;I80,"better","not")</f>
        <v>not</v>
      </c>
    </row>
    <row r="81" spans="7:18" x14ac:dyDescent="0.25">
      <c r="G81" s="22" t="s">
        <v>158</v>
      </c>
      <c r="H81" s="4">
        <f>N79-O79</f>
        <v>1.1428571428571428</v>
      </c>
      <c r="I81">
        <f>SQRT((M24*(M24+1))/(6*M23))*P51</f>
        <v>1.1681523873193944</v>
      </c>
      <c r="K81" t="str">
        <f t="shared" si="1"/>
        <v>not</v>
      </c>
    </row>
    <row r="91" spans="7:18" x14ac:dyDescent="0.25">
      <c r="J91" t="s">
        <v>36</v>
      </c>
      <c r="K91" s="3">
        <f>SQRT((M24*(M24+1))/(6*M23))</f>
        <v>0.4879500364742666</v>
      </c>
    </row>
    <row r="92" spans="7:18" x14ac:dyDescent="0.25">
      <c r="K92" s="21" t="s">
        <v>46</v>
      </c>
      <c r="L92" s="21" t="s">
        <v>23</v>
      </c>
      <c r="M92" t="s">
        <v>45</v>
      </c>
      <c r="N92" t="s">
        <v>47</v>
      </c>
    </row>
    <row r="93" spans="7:18" x14ac:dyDescent="0.25">
      <c r="I93">
        <v>1</v>
      </c>
      <c r="J93" t="s">
        <v>38</v>
      </c>
      <c r="K93" s="3">
        <f>(G32-J32)/K91</f>
        <v>2.4153526805476195</v>
      </c>
      <c r="L93" s="3">
        <f>(_xlfn.NORM.S.DIST(-1*K93,TRUE))*2</f>
        <v>1.5719980210024589E-2</v>
      </c>
      <c r="M93" s="3">
        <f>0.05/(4-I93)</f>
        <v>1.6666666666666666E-2</v>
      </c>
      <c r="N93">
        <f>1-POWER(1-0.05,1/($M$24-I93))</f>
        <v>1.6952427508441503E-2</v>
      </c>
      <c r="P93">
        <f>_xlfn.CHISQ.DIST.RT(K93,4)</f>
        <v>0.65985457600619024</v>
      </c>
      <c r="R93">
        <f>P51/1</f>
        <v>2.3940000000000001</v>
      </c>
    </row>
    <row r="94" spans="7:18" x14ac:dyDescent="0.25">
      <c r="I94">
        <v>2</v>
      </c>
      <c r="J94" t="s">
        <v>39</v>
      </c>
      <c r="K94" s="2">
        <f>(G32-H32)/K91</f>
        <v>2.3421601750764793</v>
      </c>
      <c r="L94" s="3">
        <f>(_xlfn.NORM.S.DIST(-1*K94,TRUE))*2</f>
        <v>1.9172484755223099E-2</v>
      </c>
      <c r="M94">
        <f>0.05/(4-I94)</f>
        <v>2.5000000000000001E-2</v>
      </c>
      <c r="N94">
        <f>1-POWER(1-0.05,1/($M$24-I94))</f>
        <v>2.5320565519103666E-2</v>
      </c>
      <c r="P94">
        <f t="shared" ref="P94:P95" si="2">_xlfn.CHISQ.DIST.RT(K94,4)</f>
        <v>0.67310408192149174</v>
      </c>
    </row>
    <row r="95" spans="7:18" x14ac:dyDescent="0.25">
      <c r="I95">
        <v>3</v>
      </c>
      <c r="J95" t="s">
        <v>40</v>
      </c>
      <c r="K95" s="2">
        <f>(G32-I32)/K91</f>
        <v>0.51234753829797985</v>
      </c>
      <c r="L95" s="3">
        <f>(_xlfn.NORM.S.DIST(-1*K95,TRUE))*2</f>
        <v>0.60840780023299834</v>
      </c>
      <c r="M95">
        <f>0.05/(4-I95)</f>
        <v>0.05</v>
      </c>
      <c r="N95">
        <f t="shared" ref="N95:N99" si="3">1-POWER(1-0.05,1/($M$24-I95))</f>
        <v>5.0000000000000044E-2</v>
      </c>
      <c r="P95">
        <f t="shared" si="2"/>
        <v>0.97228786647873211</v>
      </c>
    </row>
    <row r="96" spans="7:18" x14ac:dyDescent="0.25">
      <c r="K96" s="13" t="s">
        <v>46</v>
      </c>
      <c r="L96" s="13" t="s">
        <v>23</v>
      </c>
    </row>
    <row r="97" spans="9:14" x14ac:dyDescent="0.25">
      <c r="I97">
        <v>1</v>
      </c>
      <c r="J97" t="s">
        <v>41</v>
      </c>
      <c r="K97" s="2">
        <f>(G32-J32)/K91</f>
        <v>2.4153526805476195</v>
      </c>
      <c r="L97">
        <f>(_xlfn.NORM.S.DIST(-1*K97,TRUE))*2</f>
        <v>1.5719980210024589E-2</v>
      </c>
      <c r="M97">
        <f>0.05/(4-I97)</f>
        <v>1.6666666666666666E-2</v>
      </c>
      <c r="N97">
        <f t="shared" si="3"/>
        <v>1.6952427508441503E-2</v>
      </c>
    </row>
    <row r="98" spans="9:14" x14ac:dyDescent="0.25">
      <c r="I98">
        <v>2</v>
      </c>
      <c r="J98" t="s">
        <v>40</v>
      </c>
      <c r="K98" s="2">
        <f>(I32-J32)/K91</f>
        <v>1.9030051422496397</v>
      </c>
      <c r="L98">
        <f>(_xlfn.NORM.S.DIST(-1*K98,TRUE))*2</f>
        <v>5.7039874249055558E-2</v>
      </c>
      <c r="M98">
        <f>0.05/(4-I98)</f>
        <v>2.5000000000000001E-2</v>
      </c>
      <c r="N98">
        <f t="shared" si="3"/>
        <v>2.5320565519103666E-2</v>
      </c>
    </row>
    <row r="99" spans="9:14" x14ac:dyDescent="0.25">
      <c r="I99">
        <v>3</v>
      </c>
      <c r="J99" t="s">
        <v>39</v>
      </c>
      <c r="K99" s="2">
        <f>(H32-J32)/K91</f>
        <v>7.3192505471140187E-2</v>
      </c>
      <c r="L99">
        <f>(_xlfn.NORM.S.DIST(-1*K99,TRUE))*2</f>
        <v>0.94165293016103579</v>
      </c>
      <c r="M99">
        <f>0.05/(4-I99)</f>
        <v>0.05</v>
      </c>
      <c r="N99">
        <f t="shared" si="3"/>
        <v>5.0000000000000044E-2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opLeftCell="D88" zoomScale="70" zoomScaleNormal="70" workbookViewId="0">
      <selection activeCell="K129" sqref="K129"/>
    </sheetView>
  </sheetViews>
  <sheetFormatPr defaultRowHeight="15" x14ac:dyDescent="0.25"/>
  <cols>
    <col min="1" max="1" width="12.42578125" bestFit="1" customWidth="1"/>
    <col min="4" max="4" width="34.28515625" bestFit="1" customWidth="1"/>
    <col min="5" max="5" width="24.140625" bestFit="1" customWidth="1"/>
    <col min="6" max="6" width="24.5703125" bestFit="1" customWidth="1"/>
    <col min="7" max="7" width="15.85546875" customWidth="1"/>
    <col min="8" max="9" width="21.5703125" bestFit="1" customWidth="1"/>
    <col min="10" max="10" width="18.5703125" bestFit="1" customWidth="1"/>
    <col min="11" max="11" width="18.5703125" customWidth="1"/>
    <col min="12" max="12" width="18.5703125" bestFit="1" customWidth="1"/>
    <col min="13" max="13" width="20.140625" bestFit="1" customWidth="1"/>
    <col min="14" max="14" width="16.28515625" bestFit="1" customWidth="1"/>
    <col min="15" max="15" width="18.7109375" customWidth="1"/>
    <col min="16" max="17" width="16.85546875" bestFit="1" customWidth="1"/>
    <col min="18" max="18" width="16.28515625" bestFit="1" customWidth="1"/>
    <col min="19" max="19" width="15.140625" bestFit="1" customWidth="1"/>
  </cols>
  <sheetData>
    <row r="1" spans="1:24" x14ac:dyDescent="0.25">
      <c r="D1" t="s">
        <v>71</v>
      </c>
      <c r="E1" t="s">
        <v>72</v>
      </c>
      <c r="F1" t="s">
        <v>180</v>
      </c>
      <c r="G1" t="s">
        <v>74</v>
      </c>
    </row>
    <row r="2" spans="1:24" ht="62.25" customHeight="1" x14ac:dyDescent="0.25">
      <c r="D2" s="16" t="s">
        <v>66</v>
      </c>
      <c r="I2" s="87"/>
      <c r="J2" s="87"/>
      <c r="K2" s="87"/>
      <c r="L2" s="87"/>
      <c r="M2" s="10"/>
      <c r="O2" s="13" t="s">
        <v>161</v>
      </c>
    </row>
    <row r="3" spans="1:24" ht="15" customHeight="1" x14ac:dyDescent="0.25">
      <c r="B3" t="s">
        <v>161</v>
      </c>
      <c r="C3" s="9"/>
      <c r="D3" s="11" t="s">
        <v>69</v>
      </c>
      <c r="E3" s="89"/>
      <c r="F3" s="90" t="s">
        <v>18</v>
      </c>
      <c r="G3" s="90" t="s">
        <v>57</v>
      </c>
      <c r="H3" s="90" t="s">
        <v>65</v>
      </c>
      <c r="I3" s="94" t="s">
        <v>85</v>
      </c>
      <c r="J3" s="10"/>
      <c r="K3" s="27"/>
      <c r="L3" s="27"/>
      <c r="M3" s="10"/>
      <c r="N3" s="103" t="s">
        <v>67</v>
      </c>
      <c r="O3" s="84" t="s">
        <v>56</v>
      </c>
      <c r="P3" s="29" t="s">
        <v>85</v>
      </c>
      <c r="Q3" s="64"/>
    </row>
    <row r="4" spans="1:24" x14ac:dyDescent="0.25">
      <c r="A4" t="s">
        <v>177</v>
      </c>
      <c r="B4">
        <v>0</v>
      </c>
      <c r="C4" s="9">
        <v>1</v>
      </c>
      <c r="D4" s="19" t="s">
        <v>48</v>
      </c>
      <c r="E4" s="19" t="s">
        <v>48</v>
      </c>
      <c r="F4" s="37">
        <v>72.47</v>
      </c>
      <c r="G4" s="37">
        <v>85.1</v>
      </c>
      <c r="H4" s="119">
        <v>89.789999999999992</v>
      </c>
      <c r="I4" s="120">
        <v>90.14</v>
      </c>
      <c r="J4" s="85"/>
      <c r="K4" s="104"/>
      <c r="L4" s="85"/>
      <c r="M4" s="85"/>
      <c r="T4" s="4"/>
      <c r="U4" s="4"/>
      <c r="V4" s="4"/>
    </row>
    <row r="5" spans="1:24" x14ac:dyDescent="0.25">
      <c r="A5" t="s">
        <v>178</v>
      </c>
      <c r="B5">
        <v>0</v>
      </c>
      <c r="C5" s="9">
        <v>2</v>
      </c>
      <c r="D5" s="19" t="s">
        <v>49</v>
      </c>
      <c r="E5" s="19" t="s">
        <v>49</v>
      </c>
      <c r="F5" s="37">
        <v>72.474999999999994</v>
      </c>
      <c r="G5" s="37">
        <v>87.43</v>
      </c>
      <c r="H5" s="37">
        <v>85.69</v>
      </c>
      <c r="I5" s="120">
        <v>90.73</v>
      </c>
      <c r="J5" s="85"/>
      <c r="K5" s="104"/>
      <c r="L5" s="85"/>
      <c r="M5" s="85"/>
      <c r="T5" s="4"/>
      <c r="U5" s="4"/>
      <c r="V5" s="4"/>
    </row>
    <row r="6" spans="1:24" x14ac:dyDescent="0.25">
      <c r="A6" t="s">
        <v>179</v>
      </c>
      <c r="B6">
        <v>0</v>
      </c>
      <c r="C6" s="9">
        <v>3</v>
      </c>
      <c r="D6" s="75" t="s">
        <v>173</v>
      </c>
      <c r="E6" s="75" t="s">
        <v>173</v>
      </c>
      <c r="F6" s="37">
        <v>80.33</v>
      </c>
      <c r="G6" s="37">
        <v>81.41</v>
      </c>
      <c r="H6" s="119">
        <v>81.45</v>
      </c>
      <c r="I6" s="120">
        <v>81.44</v>
      </c>
      <c r="J6" s="88" t="s">
        <v>24</v>
      </c>
      <c r="K6" s="49">
        <v>7</v>
      </c>
      <c r="L6" s="53"/>
      <c r="M6" s="10"/>
      <c r="R6" s="2"/>
      <c r="S6" s="4"/>
      <c r="T6" s="4"/>
      <c r="U6" s="4"/>
      <c r="V6" s="4"/>
    </row>
    <row r="7" spans="1:24" x14ac:dyDescent="0.25">
      <c r="B7">
        <v>0</v>
      </c>
      <c r="C7" s="9">
        <v>4</v>
      </c>
      <c r="D7" s="19" t="s">
        <v>51</v>
      </c>
      <c r="E7" s="19" t="s">
        <v>51</v>
      </c>
      <c r="F7" s="37">
        <v>72.399999999999991</v>
      </c>
      <c r="G7" s="119">
        <v>71.199999999999974</v>
      </c>
      <c r="H7" s="37">
        <v>73.72499999999998</v>
      </c>
      <c r="I7" s="120">
        <v>72.379999999999967</v>
      </c>
      <c r="J7" s="16" t="s">
        <v>63</v>
      </c>
      <c r="K7" s="49">
        <v>4</v>
      </c>
      <c r="L7" s="106"/>
      <c r="M7" s="10"/>
      <c r="R7" s="14"/>
      <c r="S7" s="4"/>
      <c r="T7" s="4"/>
      <c r="U7" s="4"/>
      <c r="V7" s="4"/>
      <c r="X7" s="2"/>
    </row>
    <row r="8" spans="1:24" x14ac:dyDescent="0.25">
      <c r="B8">
        <v>0</v>
      </c>
      <c r="C8" s="9">
        <v>5</v>
      </c>
      <c r="D8" s="19" t="s">
        <v>52</v>
      </c>
      <c r="E8" s="19" t="s">
        <v>52</v>
      </c>
      <c r="F8" s="37">
        <v>92.989999999999981</v>
      </c>
      <c r="G8" s="119">
        <v>84.87</v>
      </c>
      <c r="H8" s="37">
        <v>93.784999999999968</v>
      </c>
      <c r="I8" s="120">
        <v>92.564999999999984</v>
      </c>
      <c r="J8" s="10"/>
      <c r="K8" s="107"/>
      <c r="L8" s="85"/>
      <c r="M8" s="10"/>
      <c r="R8" s="4"/>
      <c r="S8" s="4"/>
      <c r="T8" s="4"/>
      <c r="U8" s="4"/>
      <c r="V8" s="4"/>
    </row>
    <row r="9" spans="1:24" x14ac:dyDescent="0.25">
      <c r="B9">
        <v>0</v>
      </c>
      <c r="C9" s="9">
        <v>6</v>
      </c>
      <c r="D9" s="19" t="s">
        <v>53</v>
      </c>
      <c r="E9" s="19" t="s">
        <v>53</v>
      </c>
      <c r="F9" s="37">
        <v>87.954999999999998</v>
      </c>
      <c r="G9" s="119">
        <v>87.6</v>
      </c>
      <c r="H9" s="37">
        <v>88.684999999999988</v>
      </c>
      <c r="I9" s="120">
        <v>87.86</v>
      </c>
      <c r="J9" s="10"/>
      <c r="K9" s="105"/>
      <c r="L9" s="85"/>
      <c r="M9" s="10"/>
      <c r="R9" s="4"/>
      <c r="S9" s="4"/>
      <c r="T9" s="4"/>
      <c r="U9" s="4"/>
      <c r="V9" s="4"/>
    </row>
    <row r="10" spans="1:24" x14ac:dyDescent="0.25">
      <c r="B10">
        <v>0</v>
      </c>
      <c r="C10" s="9">
        <v>7</v>
      </c>
      <c r="D10" s="75" t="s">
        <v>55</v>
      </c>
      <c r="E10" s="75" t="s">
        <v>55</v>
      </c>
      <c r="F10" s="37">
        <v>86.424999999999997</v>
      </c>
      <c r="G10" s="37">
        <v>91.769999999999982</v>
      </c>
      <c r="H10" s="37">
        <v>94.484999999999928</v>
      </c>
      <c r="I10" s="120">
        <v>89.65</v>
      </c>
      <c r="J10" s="10"/>
      <c r="K10" s="104"/>
      <c r="L10" s="85"/>
      <c r="M10" s="10"/>
      <c r="R10" s="4"/>
      <c r="S10" s="4"/>
      <c r="T10" s="4"/>
      <c r="U10" s="4"/>
      <c r="V10" s="4"/>
    </row>
    <row r="11" spans="1:24" x14ac:dyDescent="0.25">
      <c r="C11" s="9"/>
      <c r="D11" s="9" t="s">
        <v>87</v>
      </c>
      <c r="E11" s="91"/>
      <c r="F11" s="97">
        <f>AVERAGE(F4:F10)</f>
        <v>80.72071428571428</v>
      </c>
      <c r="G11" s="97">
        <f>AVERAGE(G4:G10)</f>
        <v>84.19714285714285</v>
      </c>
      <c r="H11" s="97">
        <f>AVERAGE(H4:H10)</f>
        <v>86.801428571428545</v>
      </c>
      <c r="I11" s="98">
        <f>AVERAGE(I4:I10)</f>
        <v>86.394999999999982</v>
      </c>
      <c r="J11" s="53"/>
      <c r="K11" s="105"/>
      <c r="L11" s="105"/>
      <c r="M11" s="10"/>
      <c r="N11" s="4"/>
      <c r="R11" s="4"/>
      <c r="S11" s="4"/>
      <c r="T11" s="4"/>
      <c r="U11" s="4"/>
      <c r="V11" s="4"/>
    </row>
    <row r="12" spans="1:24" x14ac:dyDescent="0.25">
      <c r="E12" s="92"/>
      <c r="F12" s="92"/>
      <c r="G12" s="92"/>
      <c r="H12" s="39"/>
      <c r="I12" s="93"/>
      <c r="J12" s="10"/>
      <c r="K12" s="53"/>
      <c r="L12" s="10"/>
      <c r="M12" s="10"/>
      <c r="R12" s="4"/>
      <c r="S12" s="4"/>
      <c r="T12" s="4"/>
      <c r="U12" s="4"/>
      <c r="V12" s="4"/>
    </row>
    <row r="13" spans="1:24" ht="15" customHeight="1" x14ac:dyDescent="0.25">
      <c r="C13" s="9"/>
      <c r="D13" s="11" t="s">
        <v>69</v>
      </c>
      <c r="E13" s="89"/>
      <c r="F13" s="90" t="s">
        <v>18</v>
      </c>
      <c r="G13" s="90" t="s">
        <v>57</v>
      </c>
      <c r="H13" s="90" t="s">
        <v>65</v>
      </c>
      <c r="I13" s="94" t="s">
        <v>85</v>
      </c>
      <c r="J13" s="10"/>
      <c r="K13" s="27"/>
      <c r="L13" s="27"/>
      <c r="M13" s="10"/>
      <c r="P13" s="13"/>
      <c r="Q13" s="13"/>
      <c r="R13" s="13"/>
      <c r="S13" s="26"/>
    </row>
    <row r="14" spans="1:24" x14ac:dyDescent="0.25">
      <c r="A14" t="s">
        <v>176</v>
      </c>
      <c r="C14" s="9">
        <v>1</v>
      </c>
      <c r="D14" s="88" t="s">
        <v>76</v>
      </c>
      <c r="E14" s="88" t="s">
        <v>76</v>
      </c>
      <c r="F14" s="99">
        <v>91.239199999999954</v>
      </c>
      <c r="G14" s="16">
        <v>90.279999999999987</v>
      </c>
      <c r="H14" s="99">
        <v>89.73559999999992</v>
      </c>
      <c r="I14" s="99">
        <v>90.94</v>
      </c>
      <c r="J14" s="108"/>
      <c r="K14" s="109"/>
      <c r="L14" s="53"/>
      <c r="M14" s="108"/>
      <c r="R14" s="4"/>
      <c r="S14" s="4"/>
      <c r="T14" s="4"/>
      <c r="U14" s="4"/>
      <c r="V14" s="4"/>
    </row>
    <row r="15" spans="1:24" x14ac:dyDescent="0.25">
      <c r="A15" t="s">
        <v>175</v>
      </c>
      <c r="C15" s="9">
        <v>2</v>
      </c>
      <c r="D15" s="88" t="s">
        <v>75</v>
      </c>
      <c r="E15" s="88" t="s">
        <v>75</v>
      </c>
      <c r="F15" s="30">
        <v>86.2</v>
      </c>
      <c r="G15" s="30">
        <v>86.141666666666666</v>
      </c>
      <c r="H15" s="30">
        <v>55.083333333333336</v>
      </c>
      <c r="I15" s="96">
        <v>87.216666666666669</v>
      </c>
      <c r="J15" s="110"/>
      <c r="K15" s="109"/>
      <c r="L15" s="53"/>
      <c r="M15" s="110"/>
      <c r="R15" s="4"/>
      <c r="S15" s="4"/>
      <c r="T15" s="4"/>
      <c r="U15" s="4"/>
      <c r="V15" s="4"/>
    </row>
    <row r="16" spans="1:24" x14ac:dyDescent="0.25">
      <c r="B16">
        <v>5</v>
      </c>
      <c r="C16" s="9">
        <v>3</v>
      </c>
      <c r="D16" s="75" t="s">
        <v>169</v>
      </c>
      <c r="E16" s="75" t="s">
        <v>169</v>
      </c>
      <c r="F16" s="30">
        <v>89.675999999999974</v>
      </c>
      <c r="G16" s="30">
        <v>88.66200000000002</v>
      </c>
      <c r="H16" s="30">
        <v>88.660000000000025</v>
      </c>
      <c r="I16" s="96">
        <v>92.567999999999998</v>
      </c>
      <c r="J16" s="110"/>
      <c r="K16" s="109"/>
      <c r="L16" s="53"/>
      <c r="M16" s="110"/>
      <c r="R16" s="4"/>
      <c r="S16" s="4"/>
      <c r="T16" s="4"/>
      <c r="U16" s="4"/>
      <c r="V16" s="4"/>
    </row>
    <row r="17" spans="2:22" x14ac:dyDescent="0.25">
      <c r="B17">
        <v>3</v>
      </c>
      <c r="C17" s="9">
        <v>4</v>
      </c>
      <c r="D17" s="19" t="s">
        <v>170</v>
      </c>
      <c r="E17" s="19" t="s">
        <v>170</v>
      </c>
      <c r="F17" s="30">
        <v>87.828999999999979</v>
      </c>
      <c r="G17" s="30">
        <v>87.353999999999985</v>
      </c>
      <c r="H17" s="30">
        <v>85.14200000000001</v>
      </c>
      <c r="I17" s="96">
        <v>87.750999999999948</v>
      </c>
      <c r="J17" s="88" t="s">
        <v>24</v>
      </c>
      <c r="K17" s="49">
        <v>9</v>
      </c>
      <c r="L17" s="53"/>
      <c r="M17" s="110"/>
      <c r="R17" s="4"/>
      <c r="S17" s="4"/>
      <c r="T17" s="4"/>
      <c r="U17" s="4"/>
      <c r="V17" s="4"/>
    </row>
    <row r="18" spans="2:22" x14ac:dyDescent="0.25">
      <c r="B18">
        <v>3</v>
      </c>
      <c r="C18" s="9">
        <v>5</v>
      </c>
      <c r="D18" s="19" t="s">
        <v>171</v>
      </c>
      <c r="E18" s="19" t="s">
        <v>171</v>
      </c>
      <c r="F18" s="30">
        <v>93.756000000000029</v>
      </c>
      <c r="G18" s="30">
        <v>93.554000000000002</v>
      </c>
      <c r="H18" s="30">
        <v>93.358000000000004</v>
      </c>
      <c r="I18" s="96">
        <v>93.732000000000014</v>
      </c>
      <c r="J18" s="16" t="s">
        <v>63</v>
      </c>
      <c r="K18" s="49">
        <v>4</v>
      </c>
      <c r="L18" s="53"/>
      <c r="M18" s="110"/>
      <c r="R18" s="4"/>
      <c r="S18" s="4"/>
      <c r="T18" s="4"/>
      <c r="U18" s="4"/>
      <c r="V18" s="4"/>
    </row>
    <row r="19" spans="2:22" x14ac:dyDescent="0.25">
      <c r="B19">
        <v>2</v>
      </c>
      <c r="C19" s="9">
        <v>6</v>
      </c>
      <c r="D19" s="100" t="s">
        <v>172</v>
      </c>
      <c r="E19" s="100" t="s">
        <v>172</v>
      </c>
      <c r="F19" s="30">
        <v>66.86999999999999</v>
      </c>
      <c r="G19" s="30">
        <v>88.14</v>
      </c>
      <c r="H19" s="30">
        <v>82.639999999999972</v>
      </c>
      <c r="I19" s="96">
        <v>90.749999999999986</v>
      </c>
      <c r="J19" s="110"/>
      <c r="K19" s="109"/>
      <c r="L19" s="53"/>
      <c r="M19" s="110"/>
      <c r="R19" s="4"/>
      <c r="S19" s="4"/>
      <c r="T19" s="4"/>
      <c r="U19" s="4"/>
      <c r="V19" s="4"/>
    </row>
    <row r="20" spans="2:22" x14ac:dyDescent="0.25">
      <c r="C20" s="9">
        <v>7</v>
      </c>
      <c r="D20" s="88" t="s">
        <v>77</v>
      </c>
      <c r="E20" s="88" t="s">
        <v>77</v>
      </c>
      <c r="F20" s="30">
        <v>86.645054945054937</v>
      </c>
      <c r="G20" s="30">
        <v>88.043956043956058</v>
      </c>
      <c r="H20" s="30">
        <v>80.91978021978025</v>
      </c>
      <c r="I20" s="96">
        <v>89.228571428571385</v>
      </c>
      <c r="J20" s="10"/>
      <c r="K20" s="109"/>
      <c r="L20" s="53"/>
      <c r="M20" s="10"/>
      <c r="R20" s="4"/>
      <c r="S20" s="4"/>
      <c r="T20" s="4"/>
      <c r="U20" s="4"/>
      <c r="V20" s="4"/>
    </row>
    <row r="21" spans="2:22" x14ac:dyDescent="0.25">
      <c r="C21" s="9">
        <v>8</v>
      </c>
      <c r="D21" s="95" t="s">
        <v>78</v>
      </c>
      <c r="E21" s="95" t="s">
        <v>78</v>
      </c>
      <c r="F21" s="30">
        <v>88.660412698412671</v>
      </c>
      <c r="G21" s="30">
        <v>92.812952380952368</v>
      </c>
      <c r="H21" s="30">
        <v>88.043849206349222</v>
      </c>
      <c r="I21" s="96">
        <v>94.014039682539675</v>
      </c>
      <c r="J21" s="10"/>
      <c r="K21" s="109"/>
      <c r="L21" s="53"/>
      <c r="M21" s="10"/>
      <c r="R21" s="4"/>
      <c r="S21" s="4"/>
      <c r="T21" s="4"/>
      <c r="U21" s="4"/>
      <c r="V21" s="4"/>
    </row>
    <row r="22" spans="2:22" x14ac:dyDescent="0.25">
      <c r="B22">
        <v>4</v>
      </c>
      <c r="C22" s="9">
        <v>9</v>
      </c>
      <c r="D22" s="88" t="s">
        <v>79</v>
      </c>
      <c r="E22" s="88" t="s">
        <v>79</v>
      </c>
      <c r="F22" s="30">
        <v>90.778159271284309</v>
      </c>
      <c r="G22" s="30">
        <v>90.778159271284309</v>
      </c>
      <c r="H22" s="30">
        <v>77.652729076479048</v>
      </c>
      <c r="I22" s="96">
        <v>92.225211038961149</v>
      </c>
      <c r="J22" s="10"/>
      <c r="K22" s="109"/>
      <c r="L22" s="53"/>
      <c r="M22" s="10"/>
      <c r="R22" s="4"/>
      <c r="S22" s="4"/>
      <c r="T22" s="4"/>
      <c r="U22" s="4"/>
      <c r="V22" s="4"/>
    </row>
    <row r="23" spans="2:22" ht="15.75" customHeight="1" x14ac:dyDescent="0.25">
      <c r="C23" s="9"/>
      <c r="D23" s="9" t="s">
        <v>86</v>
      </c>
      <c r="E23" s="91"/>
      <c r="F23" s="97">
        <f>AVERAGE(F14:F22)</f>
        <v>86.850425212750181</v>
      </c>
      <c r="G23" s="97">
        <f>AVERAGE(G14:G22)</f>
        <v>89.529637151428815</v>
      </c>
      <c r="H23" s="97">
        <f>AVERAGE(H14:H22)</f>
        <v>82.359476870660217</v>
      </c>
      <c r="I23" s="98">
        <f>AVERAGE(I14:I22)</f>
        <v>90.936165424082077</v>
      </c>
      <c r="J23" s="10"/>
      <c r="K23" s="111"/>
      <c r="L23" s="53"/>
      <c r="M23" s="10"/>
      <c r="N23" s="4"/>
    </row>
    <row r="24" spans="2:22" x14ac:dyDescent="0.25">
      <c r="D24" s="12" t="s">
        <v>70</v>
      </c>
      <c r="J24" s="10"/>
      <c r="K24" s="10"/>
      <c r="L24" s="10"/>
      <c r="M24" s="10"/>
    </row>
    <row r="25" spans="2:22" x14ac:dyDescent="0.25">
      <c r="D25" s="12" t="s">
        <v>73</v>
      </c>
      <c r="L25" s="6"/>
    </row>
    <row r="26" spans="2:22" x14ac:dyDescent="0.25">
      <c r="D26" s="54"/>
      <c r="L26" s="6"/>
    </row>
    <row r="27" spans="2:22" x14ac:dyDescent="0.25">
      <c r="C27" s="9">
        <v>1</v>
      </c>
      <c r="D27" s="19" t="s">
        <v>48</v>
      </c>
      <c r="E27" s="19" t="s">
        <v>48</v>
      </c>
      <c r="F27">
        <f t="shared" ref="F27:I33" si="0">_xlfn.RANK.AVG(F4,$F4:$I4,0)</f>
        <v>4</v>
      </c>
      <c r="G27">
        <f t="shared" si="0"/>
        <v>3</v>
      </c>
      <c r="H27">
        <f t="shared" si="0"/>
        <v>2</v>
      </c>
      <c r="I27">
        <f t="shared" si="0"/>
        <v>1</v>
      </c>
    </row>
    <row r="28" spans="2:22" x14ac:dyDescent="0.25">
      <c r="C28" s="9">
        <v>2</v>
      </c>
      <c r="D28" s="19" t="s">
        <v>49</v>
      </c>
      <c r="E28" s="19" t="s">
        <v>49</v>
      </c>
      <c r="F28">
        <f t="shared" si="0"/>
        <v>4</v>
      </c>
      <c r="G28">
        <f t="shared" si="0"/>
        <v>2</v>
      </c>
      <c r="H28">
        <f t="shared" si="0"/>
        <v>3</v>
      </c>
      <c r="I28">
        <f t="shared" si="0"/>
        <v>1</v>
      </c>
    </row>
    <row r="29" spans="2:22" x14ac:dyDescent="0.25">
      <c r="C29" s="9">
        <v>3</v>
      </c>
      <c r="D29" s="75" t="s">
        <v>173</v>
      </c>
      <c r="E29" s="75" t="s">
        <v>173</v>
      </c>
      <c r="F29">
        <f t="shared" si="0"/>
        <v>4</v>
      </c>
      <c r="G29">
        <f t="shared" si="0"/>
        <v>3</v>
      </c>
      <c r="H29">
        <f t="shared" si="0"/>
        <v>1</v>
      </c>
      <c r="I29">
        <f t="shared" si="0"/>
        <v>2</v>
      </c>
    </row>
    <row r="30" spans="2:22" x14ac:dyDescent="0.25">
      <c r="C30" s="9">
        <v>4</v>
      </c>
      <c r="D30" s="19" t="s">
        <v>51</v>
      </c>
      <c r="E30" s="19" t="s">
        <v>51</v>
      </c>
      <c r="F30">
        <f t="shared" si="0"/>
        <v>2</v>
      </c>
      <c r="G30">
        <f t="shared" si="0"/>
        <v>4</v>
      </c>
      <c r="H30">
        <f t="shared" si="0"/>
        <v>1</v>
      </c>
      <c r="I30">
        <f t="shared" si="0"/>
        <v>3</v>
      </c>
    </row>
    <row r="31" spans="2:22" x14ac:dyDescent="0.25">
      <c r="C31" s="9">
        <v>5</v>
      </c>
      <c r="D31" s="19" t="s">
        <v>52</v>
      </c>
      <c r="E31" s="19" t="s">
        <v>52</v>
      </c>
      <c r="F31">
        <f t="shared" si="0"/>
        <v>2</v>
      </c>
      <c r="G31">
        <f t="shared" si="0"/>
        <v>4</v>
      </c>
      <c r="H31">
        <f t="shared" si="0"/>
        <v>1</v>
      </c>
      <c r="I31">
        <f t="shared" si="0"/>
        <v>3</v>
      </c>
    </row>
    <row r="32" spans="2:22" x14ac:dyDescent="0.25">
      <c r="C32" s="9">
        <v>6</v>
      </c>
      <c r="D32" s="19" t="s">
        <v>53</v>
      </c>
      <c r="E32" s="19" t="s">
        <v>53</v>
      </c>
      <c r="F32">
        <f t="shared" si="0"/>
        <v>2</v>
      </c>
      <c r="G32">
        <f t="shared" si="0"/>
        <v>4</v>
      </c>
      <c r="H32">
        <f t="shared" si="0"/>
        <v>1</v>
      </c>
      <c r="I32">
        <f t="shared" si="0"/>
        <v>3</v>
      </c>
    </row>
    <row r="33" spans="3:23" x14ac:dyDescent="0.25">
      <c r="C33" s="9">
        <v>7</v>
      </c>
      <c r="D33" s="19" t="s">
        <v>55</v>
      </c>
      <c r="E33" s="19" t="s">
        <v>55</v>
      </c>
      <c r="F33">
        <f t="shared" si="0"/>
        <v>4</v>
      </c>
      <c r="G33">
        <f t="shared" si="0"/>
        <v>2</v>
      </c>
      <c r="H33">
        <f t="shared" si="0"/>
        <v>1</v>
      </c>
      <c r="I33">
        <f t="shared" si="0"/>
        <v>3</v>
      </c>
      <c r="N33" s="16"/>
    </row>
    <row r="34" spans="3:23" x14ac:dyDescent="0.25">
      <c r="D34" s="75"/>
      <c r="N34" s="16"/>
    </row>
    <row r="35" spans="3:23" x14ac:dyDescent="0.25">
      <c r="C35">
        <v>8</v>
      </c>
      <c r="D35" s="9" t="s">
        <v>174</v>
      </c>
      <c r="F35" s="44">
        <f>AVERAGE(F27:F33)</f>
        <v>3.1428571428571428</v>
      </c>
      <c r="G35" s="44">
        <f t="shared" ref="G35:I35" si="1">AVERAGE(G27:G33)</f>
        <v>3.1428571428571428</v>
      </c>
      <c r="H35" s="44">
        <f t="shared" si="1"/>
        <v>1.4285714285714286</v>
      </c>
      <c r="I35" s="44">
        <f t="shared" si="1"/>
        <v>2.2857142857142856</v>
      </c>
    </row>
    <row r="36" spans="3:23" x14ac:dyDescent="0.25">
      <c r="D36" t="s">
        <v>20</v>
      </c>
      <c r="E36" s="44"/>
      <c r="F36" s="44"/>
      <c r="G36" s="44"/>
      <c r="H36" s="44"/>
      <c r="I36" s="112"/>
      <c r="J36" s="111"/>
      <c r="K36" s="111"/>
      <c r="L36" s="111"/>
      <c r="M36" s="3"/>
      <c r="N36" s="4"/>
      <c r="O36" s="4"/>
      <c r="P36" s="4"/>
      <c r="Q36" s="4"/>
      <c r="R36" s="4"/>
      <c r="S36" s="4"/>
    </row>
    <row r="37" spans="3:23" x14ac:dyDescent="0.25">
      <c r="M37" s="21"/>
      <c r="N37" s="21"/>
    </row>
    <row r="38" spans="3:23" x14ac:dyDescent="0.25">
      <c r="C38">
        <v>1</v>
      </c>
      <c r="D38" s="88" t="s">
        <v>76</v>
      </c>
      <c r="F38">
        <f>_xlfn.RANK.AVG(F14,$F14:$I14,0)</f>
        <v>1</v>
      </c>
      <c r="G38">
        <f t="shared" ref="G38:I38" si="2">_xlfn.RANK.AVG(G14,$F14:$I14,0)</f>
        <v>3</v>
      </c>
      <c r="H38">
        <f t="shared" si="2"/>
        <v>4</v>
      </c>
      <c r="I38">
        <f t="shared" si="2"/>
        <v>2</v>
      </c>
      <c r="M38" s="2"/>
    </row>
    <row r="39" spans="3:23" x14ac:dyDescent="0.25">
      <c r="C39">
        <v>2</v>
      </c>
      <c r="D39" s="88" t="s">
        <v>75</v>
      </c>
      <c r="F39">
        <f t="shared" ref="F39:I39" si="3">_xlfn.RANK.AVG(F15,$F15:$I15,0)</f>
        <v>2</v>
      </c>
      <c r="G39">
        <f t="shared" si="3"/>
        <v>3</v>
      </c>
      <c r="H39">
        <f t="shared" si="3"/>
        <v>4</v>
      </c>
      <c r="I39">
        <f t="shared" si="3"/>
        <v>1</v>
      </c>
      <c r="M39" s="2"/>
    </row>
    <row r="40" spans="3:23" x14ac:dyDescent="0.25">
      <c r="C40">
        <v>3</v>
      </c>
      <c r="D40" s="75" t="s">
        <v>169</v>
      </c>
      <c r="F40">
        <f t="shared" ref="F40:I40" si="4">_xlfn.RANK.AVG(F16,$F16:$I16,0)</f>
        <v>2</v>
      </c>
      <c r="G40">
        <f t="shared" si="4"/>
        <v>3</v>
      </c>
      <c r="H40">
        <f t="shared" si="4"/>
        <v>4</v>
      </c>
      <c r="I40">
        <f t="shared" si="4"/>
        <v>1</v>
      </c>
      <c r="M40" s="2"/>
    </row>
    <row r="41" spans="3:23" x14ac:dyDescent="0.25">
      <c r="C41">
        <v>4</v>
      </c>
      <c r="D41" s="19" t="s">
        <v>170</v>
      </c>
      <c r="F41">
        <f t="shared" ref="F41:I41" si="5">_xlfn.RANK.AVG(F17,$F17:$I17,0)</f>
        <v>1</v>
      </c>
      <c r="G41">
        <f t="shared" si="5"/>
        <v>3</v>
      </c>
      <c r="H41">
        <f t="shared" si="5"/>
        <v>4</v>
      </c>
      <c r="I41">
        <f t="shared" si="5"/>
        <v>2</v>
      </c>
      <c r="M41" s="13"/>
    </row>
    <row r="42" spans="3:23" x14ac:dyDescent="0.25">
      <c r="C42">
        <v>5</v>
      </c>
      <c r="D42" s="19" t="s">
        <v>171</v>
      </c>
      <c r="F42">
        <f t="shared" ref="F42:I42" si="6">_xlfn.RANK.AVG(F18,$F18:$I18,0)</f>
        <v>1</v>
      </c>
      <c r="G42">
        <f t="shared" si="6"/>
        <v>3</v>
      </c>
      <c r="H42">
        <f t="shared" si="6"/>
        <v>4</v>
      </c>
      <c r="I42">
        <f t="shared" si="6"/>
        <v>2</v>
      </c>
      <c r="M42" s="2"/>
    </row>
    <row r="43" spans="3:23" x14ac:dyDescent="0.25">
      <c r="C43">
        <v>6</v>
      </c>
      <c r="D43" s="100" t="s">
        <v>172</v>
      </c>
      <c r="F43">
        <f t="shared" ref="F43:I43" si="7">_xlfn.RANK.AVG(F19,$F19:$I19,0)</f>
        <v>4</v>
      </c>
      <c r="G43">
        <f t="shared" si="7"/>
        <v>2</v>
      </c>
      <c r="H43">
        <f t="shared" si="7"/>
        <v>3</v>
      </c>
      <c r="I43">
        <f t="shared" si="7"/>
        <v>1</v>
      </c>
      <c r="M43" s="2"/>
    </row>
    <row r="44" spans="3:23" x14ac:dyDescent="0.25">
      <c r="C44">
        <v>7</v>
      </c>
      <c r="D44" s="88" t="s">
        <v>77</v>
      </c>
      <c r="F44">
        <f t="shared" ref="F44:I44" si="8">_xlfn.RANK.AVG(F20,$F20:$I20,0)</f>
        <v>3</v>
      </c>
      <c r="G44">
        <f t="shared" si="8"/>
        <v>2</v>
      </c>
      <c r="H44">
        <f t="shared" si="8"/>
        <v>4</v>
      </c>
      <c r="I44">
        <f t="shared" si="8"/>
        <v>1</v>
      </c>
      <c r="M44" s="25"/>
      <c r="Q44" s="10"/>
      <c r="R44" s="10"/>
      <c r="S44" s="10"/>
      <c r="T44" s="10"/>
      <c r="U44" s="10"/>
      <c r="V44" s="10"/>
      <c r="W44" s="10"/>
    </row>
    <row r="45" spans="3:23" x14ac:dyDescent="0.25">
      <c r="C45">
        <v>8</v>
      </c>
      <c r="D45" s="95" t="s">
        <v>78</v>
      </c>
      <c r="F45">
        <f t="shared" ref="F45:I45" si="9">_xlfn.RANK.AVG(F21,$F21:$I21,0)</f>
        <v>3</v>
      </c>
      <c r="G45">
        <f t="shared" si="9"/>
        <v>2</v>
      </c>
      <c r="H45">
        <f t="shared" si="9"/>
        <v>4</v>
      </c>
      <c r="I45">
        <f t="shared" si="9"/>
        <v>1</v>
      </c>
      <c r="M45" s="10"/>
      <c r="Q45" s="10"/>
      <c r="R45" s="10"/>
      <c r="S45" s="10"/>
      <c r="T45" s="10"/>
      <c r="U45" s="10"/>
      <c r="V45" s="10"/>
      <c r="W45" s="10"/>
    </row>
    <row r="46" spans="3:23" x14ac:dyDescent="0.25">
      <c r="C46">
        <v>9</v>
      </c>
      <c r="D46" s="88" t="s">
        <v>79</v>
      </c>
      <c r="F46">
        <f t="shared" ref="F46:I46" si="10">_xlfn.RANK.AVG(F22,$F22:$I22,0)</f>
        <v>2.5</v>
      </c>
      <c r="G46">
        <f t="shared" si="10"/>
        <v>2.5</v>
      </c>
      <c r="H46">
        <f t="shared" si="10"/>
        <v>4</v>
      </c>
      <c r="I46">
        <f t="shared" si="10"/>
        <v>1</v>
      </c>
      <c r="M46" s="10"/>
      <c r="Q46" s="10"/>
      <c r="R46" s="10"/>
      <c r="S46" s="10"/>
      <c r="T46" s="10"/>
      <c r="U46" s="10"/>
      <c r="V46" s="10"/>
      <c r="W46" s="10"/>
    </row>
    <row r="47" spans="3:23" x14ac:dyDescent="0.25">
      <c r="D47" s="88"/>
      <c r="M47" s="10"/>
      <c r="Q47" s="10"/>
      <c r="R47" s="10"/>
      <c r="S47" s="10"/>
      <c r="T47" s="10"/>
      <c r="U47" s="10"/>
      <c r="V47" s="10"/>
      <c r="W47" s="10"/>
    </row>
    <row r="48" spans="3:23" x14ac:dyDescent="0.25">
      <c r="D48" s="88" t="s">
        <v>24</v>
      </c>
      <c r="E48" s="49">
        <v>7</v>
      </c>
      <c r="M48" s="10"/>
      <c r="Q48" s="10"/>
      <c r="R48" s="10"/>
      <c r="S48" s="10"/>
      <c r="T48" s="10"/>
      <c r="U48" s="10"/>
      <c r="V48" s="10"/>
      <c r="W48" s="10"/>
    </row>
    <row r="49" spans="4:23" x14ac:dyDescent="0.25">
      <c r="D49" s="16" t="s">
        <v>63</v>
      </c>
      <c r="E49" s="49">
        <v>4</v>
      </c>
      <c r="F49" s="44">
        <f>AVERAGE(F38:F46)</f>
        <v>2.1666666666666665</v>
      </c>
      <c r="G49" s="44">
        <f>AVERAGE(G38:G46)</f>
        <v>2.6111111111111112</v>
      </c>
      <c r="H49" s="44">
        <f t="shared" ref="H49:I49" si="11">AVERAGE(H38:H46)</f>
        <v>3.8888888888888888</v>
      </c>
      <c r="I49" s="44">
        <f t="shared" si="11"/>
        <v>1.3333333333333333</v>
      </c>
      <c r="M49" s="10"/>
      <c r="Q49" s="10"/>
      <c r="R49" s="10"/>
      <c r="S49" s="10"/>
      <c r="T49" s="10"/>
      <c r="U49" s="10"/>
      <c r="V49" s="10"/>
      <c r="W49" s="10"/>
    </row>
    <row r="50" spans="4:23" x14ac:dyDescent="0.25">
      <c r="F50" s="4">
        <f>AVERAGE(F35,F49)</f>
        <v>2.6547619047619047</v>
      </c>
      <c r="G50" s="4">
        <f t="shared" ref="G50:I50" si="12">AVERAGE(G35,G49)</f>
        <v>2.876984126984127</v>
      </c>
      <c r="H50" s="4">
        <f t="shared" si="12"/>
        <v>2.6587301587301586</v>
      </c>
      <c r="I50" s="4">
        <f t="shared" si="12"/>
        <v>1.8095238095238093</v>
      </c>
      <c r="M50" s="10"/>
      <c r="Q50" s="10"/>
      <c r="R50" s="10"/>
      <c r="S50" s="10"/>
      <c r="T50" s="10"/>
      <c r="U50" s="10"/>
      <c r="V50" s="10"/>
      <c r="W50" s="10"/>
    </row>
    <row r="51" spans="4:23" x14ac:dyDescent="0.25">
      <c r="D51" s="16" t="s">
        <v>80</v>
      </c>
      <c r="M51" s="34"/>
      <c r="Q51" s="10"/>
      <c r="R51" s="10"/>
      <c r="S51" s="10"/>
      <c r="T51" s="10"/>
      <c r="U51" s="10"/>
      <c r="V51" s="10"/>
      <c r="W51" s="10"/>
    </row>
    <row r="52" spans="4:23" x14ac:dyDescent="0.25">
      <c r="D52" s="22"/>
      <c r="E52" s="32"/>
      <c r="F52" s="101" t="s">
        <v>18</v>
      </c>
      <c r="G52" s="101" t="s">
        <v>57</v>
      </c>
      <c r="H52" s="101" t="s">
        <v>65</v>
      </c>
      <c r="I52" s="86" t="s">
        <v>85</v>
      </c>
      <c r="J52" s="27"/>
      <c r="K52" s="27"/>
      <c r="L52" s="113" t="s">
        <v>61</v>
      </c>
      <c r="M52" s="34"/>
      <c r="Q52" s="10"/>
      <c r="R52" s="10"/>
      <c r="S52" s="10"/>
      <c r="T52" s="10"/>
      <c r="U52" s="10"/>
      <c r="V52" s="10"/>
      <c r="W52" s="10"/>
    </row>
    <row r="53" spans="4:23" x14ac:dyDescent="0.25">
      <c r="D53" s="22" t="s">
        <v>60</v>
      </c>
      <c r="E53" s="22"/>
      <c r="F53" s="22">
        <f>COUNT(F4:F10)</f>
        <v>7</v>
      </c>
      <c r="G53" s="22">
        <f>COUNT(G4:G10)</f>
        <v>7</v>
      </c>
      <c r="H53" s="22">
        <f>COUNT(H4:H10)</f>
        <v>7</v>
      </c>
      <c r="I53" s="51">
        <f>COUNT(I4:I10)</f>
        <v>7</v>
      </c>
      <c r="J53" s="1"/>
      <c r="K53" s="1"/>
      <c r="L53" s="114">
        <f>SUM(E53:I53)</f>
        <v>28</v>
      </c>
      <c r="M53" s="34"/>
      <c r="Q53" s="10"/>
      <c r="R53" s="10"/>
      <c r="S53" s="10"/>
      <c r="T53" s="10"/>
      <c r="U53" s="10"/>
      <c r="V53" s="10"/>
      <c r="W53" s="10"/>
    </row>
    <row r="54" spans="4:23" x14ac:dyDescent="0.25">
      <c r="D54" s="22" t="s">
        <v>82</v>
      </c>
      <c r="E54" s="22"/>
      <c r="F54" s="22">
        <f>SUM(F27:F33)</f>
        <v>22</v>
      </c>
      <c r="G54" s="22">
        <f t="shared" ref="G54:I54" si="13">SUM(G27:G33)</f>
        <v>22</v>
      </c>
      <c r="H54" s="22">
        <f t="shared" si="13"/>
        <v>10</v>
      </c>
      <c r="I54" s="22">
        <f t="shared" si="13"/>
        <v>16</v>
      </c>
      <c r="J54" s="1"/>
      <c r="K54" s="1"/>
      <c r="L54" s="114">
        <f>SUM(F54:I54)</f>
        <v>70</v>
      </c>
      <c r="M54" s="34"/>
      <c r="Q54" s="10"/>
      <c r="R54" s="10"/>
      <c r="S54" s="10"/>
      <c r="T54" s="10"/>
      <c r="U54" s="10"/>
      <c r="V54" s="10"/>
      <c r="W54" s="10"/>
    </row>
    <row r="55" spans="4:23" x14ac:dyDescent="0.25">
      <c r="D55" s="22" t="s">
        <v>83</v>
      </c>
      <c r="E55" s="45"/>
      <c r="F55" s="23">
        <f>AVERAGE(F27:F33)</f>
        <v>3.1428571428571428</v>
      </c>
      <c r="G55" s="23">
        <f t="shared" ref="G55:I55" si="14">AVERAGE(G27:G33)</f>
        <v>3.1428571428571428</v>
      </c>
      <c r="H55" s="23">
        <f t="shared" si="14"/>
        <v>1.4285714285714286</v>
      </c>
      <c r="I55" s="23">
        <f t="shared" si="14"/>
        <v>2.2857142857142856</v>
      </c>
      <c r="J55" s="116"/>
      <c r="K55" s="116"/>
      <c r="L55" s="115">
        <f>AVERAGE(F55:I55)</f>
        <v>2.5</v>
      </c>
      <c r="M55" s="34"/>
      <c r="Q55" s="10"/>
      <c r="R55" s="10"/>
      <c r="S55" s="10"/>
      <c r="T55" s="10"/>
      <c r="U55" s="10"/>
      <c r="V55" s="10"/>
      <c r="W55" s="10"/>
    </row>
    <row r="56" spans="4:23" x14ac:dyDescent="0.25">
      <c r="D56" s="25" t="s">
        <v>20</v>
      </c>
      <c r="E56" s="4"/>
      <c r="F56" s="4">
        <f t="shared" ref="F56:I56" si="15">F55^2</f>
        <v>9.8775510204081627</v>
      </c>
      <c r="G56" s="4">
        <f t="shared" si="15"/>
        <v>9.8775510204081627</v>
      </c>
      <c r="H56" s="4">
        <f t="shared" si="15"/>
        <v>2.0408163265306123</v>
      </c>
      <c r="I56" s="4">
        <f t="shared" si="15"/>
        <v>5.2244897959183669</v>
      </c>
      <c r="J56" s="4"/>
      <c r="K56" s="4"/>
      <c r="L56" s="63">
        <f>SUM(F56:I56)</f>
        <v>27.020408163265305</v>
      </c>
      <c r="M56" s="35"/>
      <c r="Q56" s="10"/>
      <c r="R56" s="10"/>
      <c r="S56" s="10"/>
      <c r="T56" s="10"/>
      <c r="U56" s="10"/>
      <c r="V56" s="10"/>
      <c r="W56" s="10"/>
    </row>
    <row r="57" spans="4:23" x14ac:dyDescent="0.25">
      <c r="M57" s="35"/>
      <c r="N57" s="10"/>
      <c r="O57" s="65"/>
      <c r="P57" s="66" t="s">
        <v>104</v>
      </c>
      <c r="Q57" s="66" t="s">
        <v>105</v>
      </c>
      <c r="R57" s="66" t="s">
        <v>106</v>
      </c>
      <c r="S57" s="66" t="s">
        <v>61</v>
      </c>
      <c r="T57" s="71"/>
      <c r="U57" s="10"/>
      <c r="V57" s="10"/>
      <c r="W57" s="10"/>
    </row>
    <row r="58" spans="4:23" ht="17.25" x14ac:dyDescent="0.25">
      <c r="E58" s="32"/>
      <c r="F58" s="101" t="s">
        <v>18</v>
      </c>
      <c r="G58" s="101" t="s">
        <v>57</v>
      </c>
      <c r="H58" s="101" t="s">
        <v>65</v>
      </c>
      <c r="I58" s="86" t="s">
        <v>85</v>
      </c>
      <c r="J58" s="29"/>
      <c r="K58" s="27"/>
      <c r="M58" s="35"/>
      <c r="N58" s="10"/>
      <c r="O58" s="67" t="s">
        <v>107</v>
      </c>
      <c r="P58" s="65">
        <v>10</v>
      </c>
      <c r="Q58" s="65">
        <v>10</v>
      </c>
      <c r="R58" s="65">
        <v>10</v>
      </c>
      <c r="S58" s="65">
        <v>30</v>
      </c>
      <c r="T58" s="68" t="s">
        <v>108</v>
      </c>
      <c r="U58" s="10"/>
      <c r="V58" s="10"/>
      <c r="W58" s="10"/>
    </row>
    <row r="59" spans="4:23" ht="21.75" customHeight="1" x14ac:dyDescent="0.25">
      <c r="E59" s="4"/>
      <c r="F59" s="4">
        <f>F53*(F55-$L$55)^2</f>
        <v>2.8928571428571423</v>
      </c>
      <c r="G59" s="4">
        <f>G53*(G55-$L$55)^2</f>
        <v>2.8928571428571423</v>
      </c>
      <c r="H59" s="4">
        <f>H53*(H55-$L$55)^2</f>
        <v>8.0357142857142847</v>
      </c>
      <c r="I59" s="4">
        <f>I53*(I55-$L$55)^2</f>
        <v>0.32142857142857179</v>
      </c>
      <c r="J59" s="4"/>
      <c r="K59" s="4"/>
      <c r="L59" s="73">
        <f>SUM(E59:J59)</f>
        <v>14.142857142857141</v>
      </c>
      <c r="M59" s="3"/>
      <c r="N59" s="50"/>
      <c r="O59" s="67" t="s">
        <v>58</v>
      </c>
      <c r="P59" s="65">
        <v>26.5</v>
      </c>
      <c r="Q59" s="65">
        <v>21</v>
      </c>
      <c r="R59" s="65">
        <v>12.5</v>
      </c>
      <c r="S59" s="65">
        <v>60</v>
      </c>
      <c r="T59" s="69" t="s">
        <v>109</v>
      </c>
      <c r="U59" s="27"/>
      <c r="V59" s="10"/>
      <c r="W59" s="10"/>
    </row>
    <row r="60" spans="4:23" x14ac:dyDescent="0.25">
      <c r="M60" s="35"/>
      <c r="N60" s="10"/>
      <c r="O60" s="67" t="s">
        <v>59</v>
      </c>
      <c r="P60" s="65">
        <v>2.65</v>
      </c>
      <c r="Q60" s="65">
        <v>2.1</v>
      </c>
      <c r="R60" s="65">
        <v>1.25</v>
      </c>
      <c r="S60" s="65">
        <v>2</v>
      </c>
      <c r="T60" s="70" t="s">
        <v>110</v>
      </c>
      <c r="U60" s="10"/>
      <c r="V60" s="10"/>
      <c r="W60" s="10"/>
    </row>
    <row r="61" spans="4:23" x14ac:dyDescent="0.25">
      <c r="D61">
        <v>1</v>
      </c>
      <c r="F61">
        <f>(F27-$L$55)^2</f>
        <v>2.25</v>
      </c>
      <c r="G61">
        <f t="shared" ref="G61:I61" si="16">(G27-$L$55)^2</f>
        <v>0.25</v>
      </c>
      <c r="H61">
        <f t="shared" si="16"/>
        <v>0.25</v>
      </c>
      <c r="I61">
        <f t="shared" si="16"/>
        <v>2.25</v>
      </c>
      <c r="L61">
        <f t="shared" ref="L61:L67" si="17">SUM(E61:J61)</f>
        <v>5</v>
      </c>
      <c r="M61" s="35"/>
      <c r="N61" s="10"/>
      <c r="O61" s="10"/>
      <c r="P61" s="10" t="s">
        <v>21</v>
      </c>
      <c r="Q61" s="72">
        <v>3</v>
      </c>
      <c r="R61" s="10"/>
      <c r="S61" s="10"/>
      <c r="T61" s="10"/>
      <c r="U61" s="10"/>
      <c r="V61" s="10"/>
      <c r="W61" s="10"/>
    </row>
    <row r="62" spans="4:23" x14ac:dyDescent="0.25">
      <c r="D62">
        <v>2</v>
      </c>
      <c r="F62">
        <f t="shared" ref="F62:I62" si="18">(F28-$L$55)^2</f>
        <v>2.25</v>
      </c>
      <c r="G62">
        <f t="shared" si="18"/>
        <v>0.25</v>
      </c>
      <c r="H62">
        <f t="shared" si="18"/>
        <v>0.25</v>
      </c>
      <c r="I62">
        <f t="shared" si="18"/>
        <v>2.25</v>
      </c>
      <c r="L62">
        <f t="shared" si="17"/>
        <v>5</v>
      </c>
      <c r="M62" s="35"/>
      <c r="N62" s="10"/>
      <c r="O62" s="10"/>
      <c r="P62" s="10" t="s">
        <v>24</v>
      </c>
      <c r="Q62" s="72">
        <v>10</v>
      </c>
      <c r="R62" s="10"/>
      <c r="S62" s="10"/>
      <c r="T62" s="10"/>
      <c r="U62" s="10"/>
      <c r="V62" s="10"/>
      <c r="W62" s="10"/>
    </row>
    <row r="63" spans="4:23" x14ac:dyDescent="0.25">
      <c r="D63">
        <v>3</v>
      </c>
      <c r="F63">
        <f t="shared" ref="F63:I63" si="19">(F29-$L$55)^2</f>
        <v>2.25</v>
      </c>
      <c r="G63">
        <f t="shared" si="19"/>
        <v>0.25</v>
      </c>
      <c r="H63">
        <f t="shared" si="19"/>
        <v>2.25</v>
      </c>
      <c r="I63">
        <f t="shared" si="19"/>
        <v>0.25</v>
      </c>
      <c r="L63">
        <f t="shared" si="17"/>
        <v>5</v>
      </c>
      <c r="M63" s="35"/>
      <c r="N63" s="10"/>
      <c r="O63" s="10"/>
      <c r="P63" s="4"/>
      <c r="Q63" s="4"/>
      <c r="R63" s="4"/>
      <c r="S63" s="4"/>
      <c r="T63" s="4"/>
      <c r="U63" s="4"/>
      <c r="V63" s="10"/>
      <c r="W63" s="10"/>
    </row>
    <row r="64" spans="4:23" x14ac:dyDescent="0.25">
      <c r="D64">
        <v>4</v>
      </c>
      <c r="F64">
        <f t="shared" ref="F64:I64" si="20">(F30-$L$55)^2</f>
        <v>0.25</v>
      </c>
      <c r="G64">
        <f t="shared" si="20"/>
        <v>2.25</v>
      </c>
      <c r="H64">
        <f t="shared" si="20"/>
        <v>2.25</v>
      </c>
      <c r="I64">
        <f t="shared" si="20"/>
        <v>0.25</v>
      </c>
      <c r="L64">
        <f t="shared" si="17"/>
        <v>5</v>
      </c>
      <c r="M64" s="35"/>
      <c r="P64" s="3">
        <f>P58*(P60-$S$60)^2</f>
        <v>4.2249999999999988</v>
      </c>
      <c r="Q64" s="3">
        <f t="shared" ref="Q64:R64" si="21">Q58*(Q60-$S$60)^2</f>
        <v>0.10000000000000017</v>
      </c>
      <c r="R64" s="3">
        <f t="shared" si="21"/>
        <v>5.625</v>
      </c>
      <c r="S64" s="3"/>
      <c r="T64" s="4"/>
      <c r="U64" s="4"/>
      <c r="V64" s="52">
        <f>SUM(P64:U64)</f>
        <v>9.9499999999999993</v>
      </c>
    </row>
    <row r="65" spans="4:22" x14ac:dyDescent="0.25">
      <c r="D65">
        <v>5</v>
      </c>
      <c r="F65">
        <f t="shared" ref="F65:I65" si="22">(F31-$L$55)^2</f>
        <v>0.25</v>
      </c>
      <c r="G65">
        <f t="shared" si="22"/>
        <v>2.25</v>
      </c>
      <c r="H65">
        <f t="shared" si="22"/>
        <v>2.25</v>
      </c>
      <c r="I65">
        <f t="shared" si="22"/>
        <v>0.25</v>
      </c>
      <c r="L65">
        <f t="shared" si="17"/>
        <v>5</v>
      </c>
      <c r="M65" s="35"/>
    </row>
    <row r="66" spans="4:22" x14ac:dyDescent="0.25">
      <c r="D66">
        <v>6</v>
      </c>
      <c r="F66">
        <f t="shared" ref="F66:I66" si="23">(F32-$L$55)^2</f>
        <v>0.25</v>
      </c>
      <c r="G66">
        <f t="shared" si="23"/>
        <v>2.25</v>
      </c>
      <c r="H66">
        <f t="shared" si="23"/>
        <v>2.25</v>
      </c>
      <c r="I66">
        <f t="shared" si="23"/>
        <v>0.25</v>
      </c>
      <c r="L66">
        <f t="shared" si="17"/>
        <v>5</v>
      </c>
      <c r="M66" s="35"/>
      <c r="V66">
        <f>V64/((Q61*(Q61+1))/12)</f>
        <v>9.9499999999999993</v>
      </c>
    </row>
    <row r="67" spans="4:22" x14ac:dyDescent="0.25">
      <c r="D67">
        <v>7</v>
      </c>
      <c r="F67">
        <f t="shared" ref="F67:I67" si="24">(F33-$L$55)^2</f>
        <v>2.25</v>
      </c>
      <c r="G67">
        <f t="shared" si="24"/>
        <v>0.25</v>
      </c>
      <c r="H67">
        <f t="shared" si="24"/>
        <v>2.25</v>
      </c>
      <c r="I67">
        <f t="shared" si="24"/>
        <v>0.25</v>
      </c>
      <c r="L67">
        <f t="shared" si="17"/>
        <v>5</v>
      </c>
      <c r="M67" s="35"/>
    </row>
    <row r="68" spans="4:22" x14ac:dyDescent="0.25">
      <c r="M68" s="35"/>
      <c r="N68">
        <f>SUMSQ(E61:J68)</f>
        <v>71.75</v>
      </c>
      <c r="P68" s="32" t="s">
        <v>56</v>
      </c>
      <c r="Q68" s="29" t="s">
        <v>85</v>
      </c>
      <c r="R68" s="29" t="s">
        <v>160</v>
      </c>
    </row>
    <row r="69" spans="4:22" x14ac:dyDescent="0.25">
      <c r="F69" s="4"/>
      <c r="G69" s="4"/>
      <c r="H69" s="4"/>
      <c r="I69" s="4"/>
      <c r="L69" s="48">
        <f>SUM(L61:L68)</f>
        <v>35</v>
      </c>
      <c r="M69" s="35"/>
      <c r="O69" s="9" t="s">
        <v>48</v>
      </c>
      <c r="P69" s="41">
        <v>90.54</v>
      </c>
      <c r="Q69" s="38">
        <v>91.21</v>
      </c>
      <c r="R69" s="38">
        <v>91.21</v>
      </c>
    </row>
    <row r="70" spans="4:22" x14ac:dyDescent="0.25">
      <c r="L70" s="48"/>
      <c r="M70" s="35"/>
      <c r="O70" s="9" t="s">
        <v>49</v>
      </c>
      <c r="P70" s="41">
        <v>87.21</v>
      </c>
      <c r="Q70" s="38">
        <v>89.41</v>
      </c>
      <c r="R70" s="38">
        <v>89.41</v>
      </c>
    </row>
    <row r="71" spans="4:22" x14ac:dyDescent="0.25">
      <c r="J71" t="s">
        <v>64</v>
      </c>
      <c r="L71" s="117">
        <f>L69/(K6*(K7-1))</f>
        <v>1.6666666666666667</v>
      </c>
      <c r="M71" s="35"/>
      <c r="O71" s="9" t="s">
        <v>50</v>
      </c>
      <c r="P71" s="41">
        <v>82.81</v>
      </c>
      <c r="Q71" s="38">
        <v>81.650000000000006</v>
      </c>
      <c r="R71" s="20">
        <v>82.23</v>
      </c>
    </row>
    <row r="72" spans="4:22" x14ac:dyDescent="0.25">
      <c r="J72" t="s">
        <v>181</v>
      </c>
      <c r="L72" s="48">
        <f>L59/L71</f>
        <v>8.485714285714284</v>
      </c>
      <c r="M72" s="35"/>
      <c r="O72" s="9" t="s">
        <v>51</v>
      </c>
      <c r="P72" s="41">
        <v>73.52</v>
      </c>
      <c r="Q72" s="38">
        <v>72.709999999999994</v>
      </c>
      <c r="R72" s="36">
        <v>73.05</v>
      </c>
    </row>
    <row r="73" spans="4:22" x14ac:dyDescent="0.25">
      <c r="J73" t="s">
        <v>88</v>
      </c>
      <c r="L73">
        <f>((K6-1)*L72)/(K6*(K7-1)-L72)</f>
        <v>4.0684931506849304</v>
      </c>
      <c r="O73" s="19" t="s">
        <v>52</v>
      </c>
      <c r="P73" s="37">
        <v>88.09</v>
      </c>
      <c r="Q73" s="38">
        <v>93.81</v>
      </c>
      <c r="R73" s="20">
        <v>93.81</v>
      </c>
    </row>
    <row r="74" spans="4:22" x14ac:dyDescent="0.25">
      <c r="J74" t="s">
        <v>37</v>
      </c>
      <c r="L74" s="55">
        <f>_xlfn.CHISQ.DIST.RT(L72,3)</f>
        <v>3.6970874854648263E-2</v>
      </c>
      <c r="O74" s="9" t="s">
        <v>53</v>
      </c>
      <c r="P74" s="41">
        <v>88.9</v>
      </c>
      <c r="Q74" s="38">
        <v>88.9</v>
      </c>
      <c r="R74" s="20">
        <v>88.72</v>
      </c>
    </row>
    <row r="75" spans="4:22" x14ac:dyDescent="0.25">
      <c r="D75" s="16" t="s">
        <v>62</v>
      </c>
      <c r="E75" s="49">
        <v>9</v>
      </c>
      <c r="O75" s="9" t="s">
        <v>54</v>
      </c>
      <c r="P75" s="42">
        <v>100</v>
      </c>
      <c r="Q75" s="43">
        <v>100</v>
      </c>
      <c r="R75" s="20"/>
    </row>
    <row r="76" spans="4:22" ht="15.75" x14ac:dyDescent="0.25">
      <c r="D76" s="16" t="s">
        <v>63</v>
      </c>
      <c r="E76" s="49">
        <v>4</v>
      </c>
      <c r="J76" s="56" t="s">
        <v>90</v>
      </c>
      <c r="K76" s="56"/>
      <c r="L76" s="55">
        <f>_xlfn.CHISQ.DIST.RT(L73,3)</f>
        <v>0.25416245805568272</v>
      </c>
      <c r="M76" s="28" t="s">
        <v>91</v>
      </c>
      <c r="N76" s="28">
        <f>K7-1</f>
        <v>3</v>
      </c>
      <c r="O76" s="9" t="s">
        <v>55</v>
      </c>
      <c r="P76" s="41">
        <v>94.59</v>
      </c>
      <c r="Q76" s="38">
        <v>92.11</v>
      </c>
      <c r="R76" s="20"/>
    </row>
    <row r="77" spans="4:22" x14ac:dyDescent="0.25">
      <c r="D77" s="16"/>
      <c r="E77" s="49"/>
      <c r="M77" s="28" t="s">
        <v>92</v>
      </c>
      <c r="N77" s="28">
        <f>(K6-1)*(K7-1)</f>
        <v>18</v>
      </c>
      <c r="P77" s="30">
        <f t="shared" ref="P77:R77" si="25">AVERAGE(P69:P76)</f>
        <v>88.207499999999996</v>
      </c>
      <c r="Q77" s="37">
        <f t="shared" si="25"/>
        <v>88.724999999999994</v>
      </c>
      <c r="R77" s="37">
        <f t="shared" si="25"/>
        <v>86.405000000000015</v>
      </c>
    </row>
    <row r="78" spans="4:22" x14ac:dyDescent="0.25">
      <c r="D78" s="16" t="s">
        <v>81</v>
      </c>
      <c r="M78" s="35"/>
      <c r="P78">
        <f>_xlfn.RANK.AVG(P69,$P69:$R69,0)</f>
        <v>3</v>
      </c>
      <c r="Q78">
        <f t="shared" ref="Q78:R78" si="26">_xlfn.RANK.AVG(Q69,$P69:$R69,0)</f>
        <v>1.5</v>
      </c>
      <c r="R78">
        <f t="shared" si="26"/>
        <v>1.5</v>
      </c>
    </row>
    <row r="79" spans="4:22" x14ac:dyDescent="0.25">
      <c r="D79" s="22"/>
      <c r="E79" s="32"/>
      <c r="F79" s="101" t="s">
        <v>18</v>
      </c>
      <c r="G79" s="101" t="s">
        <v>57</v>
      </c>
      <c r="H79" s="101" t="s">
        <v>65</v>
      </c>
      <c r="I79" s="86" t="s">
        <v>85</v>
      </c>
      <c r="J79" s="29"/>
      <c r="K79" s="29"/>
      <c r="L79" s="24" t="s">
        <v>61</v>
      </c>
      <c r="N79">
        <f>_xlfn.F.DIST(L76,N76,N77,TRUE)</f>
        <v>0.14265362847292437</v>
      </c>
      <c r="P79">
        <f t="shared" ref="P79:R79" si="27">_xlfn.RANK.AVG(P70,$P70:$R70,0)</f>
        <v>3</v>
      </c>
      <c r="Q79">
        <f t="shared" si="27"/>
        <v>1.5</v>
      </c>
      <c r="R79">
        <f t="shared" si="27"/>
        <v>1.5</v>
      </c>
    </row>
    <row r="80" spans="4:22" x14ac:dyDescent="0.25">
      <c r="D80" s="22" t="s">
        <v>60</v>
      </c>
      <c r="E80" s="22"/>
      <c r="F80" s="22">
        <f>COUNT(F14:F22)</f>
        <v>9</v>
      </c>
      <c r="G80" s="22">
        <f>COUNT(G14:G22)</f>
        <v>9</v>
      </c>
      <c r="H80" s="22">
        <f>COUNT(H14:H22)</f>
        <v>9</v>
      </c>
      <c r="I80" s="22">
        <f>COUNT(I14:I22)</f>
        <v>9</v>
      </c>
      <c r="J80" s="22"/>
      <c r="K80" s="22"/>
      <c r="L80" s="22">
        <f>SUM(E80:J80)</f>
        <v>36</v>
      </c>
      <c r="P80">
        <f t="shared" ref="P80:R80" si="28">_xlfn.RANK.AVG(P71,$P71:$R71,0)</f>
        <v>1</v>
      </c>
      <c r="Q80">
        <f t="shared" si="28"/>
        <v>3</v>
      </c>
      <c r="R80">
        <f t="shared" si="28"/>
        <v>2</v>
      </c>
    </row>
    <row r="81" spans="4:21" x14ac:dyDescent="0.25">
      <c r="D81" s="22" t="s">
        <v>82</v>
      </c>
      <c r="E81" s="45"/>
      <c r="F81" s="45">
        <f>SUM(F38:F46)</f>
        <v>19.5</v>
      </c>
      <c r="G81" s="45">
        <f t="shared" ref="G81:I81" si="29">SUM(G38:G46)</f>
        <v>23.5</v>
      </c>
      <c r="H81" s="45">
        <f t="shared" si="29"/>
        <v>35</v>
      </c>
      <c r="I81" s="45">
        <f t="shared" si="29"/>
        <v>12</v>
      </c>
      <c r="J81" s="45"/>
      <c r="K81" s="45"/>
      <c r="L81" s="22">
        <f>SUM(E81:J81)</f>
        <v>90</v>
      </c>
      <c r="O81" s="8"/>
      <c r="P81">
        <f t="shared" ref="P81:R81" si="30">_xlfn.RANK.AVG(P72,$P72:$R72,0)</f>
        <v>1</v>
      </c>
      <c r="Q81">
        <f t="shared" si="30"/>
        <v>3</v>
      </c>
      <c r="R81">
        <f t="shared" si="30"/>
        <v>2</v>
      </c>
    </row>
    <row r="82" spans="4:21" x14ac:dyDescent="0.25">
      <c r="D82" s="22" t="s">
        <v>83</v>
      </c>
      <c r="E82" s="46"/>
      <c r="F82" s="46">
        <f>AVERAGE(F38:F46)</f>
        <v>2.1666666666666665</v>
      </c>
      <c r="G82" s="46">
        <f t="shared" ref="G82:I82" si="31">AVERAGE(G38:G46)</f>
        <v>2.6111111111111112</v>
      </c>
      <c r="H82" s="46">
        <f t="shared" si="31"/>
        <v>3.8888888888888888</v>
      </c>
      <c r="I82" s="46">
        <f t="shared" si="31"/>
        <v>1.3333333333333333</v>
      </c>
      <c r="J82" s="46"/>
      <c r="K82" s="46"/>
      <c r="L82" s="46">
        <f>AVERAGE(E82:J82)</f>
        <v>2.5</v>
      </c>
      <c r="P82">
        <f t="shared" ref="P82:R82" si="32">_xlfn.RANK.AVG(P73,$P73:$R73,0)</f>
        <v>3</v>
      </c>
      <c r="Q82">
        <f t="shared" si="32"/>
        <v>1.5</v>
      </c>
      <c r="R82">
        <f t="shared" si="32"/>
        <v>1.5</v>
      </c>
    </row>
    <row r="83" spans="4:21" x14ac:dyDescent="0.25">
      <c r="P83">
        <f t="shared" ref="P83:R83" si="33">_xlfn.RANK.AVG(P74,$P74:$R74,0)</f>
        <v>1.5</v>
      </c>
      <c r="Q83">
        <f t="shared" si="33"/>
        <v>1.5</v>
      </c>
      <c r="R83">
        <f t="shared" si="33"/>
        <v>3</v>
      </c>
    </row>
    <row r="84" spans="4:21" x14ac:dyDescent="0.25">
      <c r="P84">
        <f t="shared" ref="P84:R84" si="34">_xlfn.RANK.AVG(P75,$P75:$R75,0)</f>
        <v>1.5</v>
      </c>
      <c r="Q84">
        <f t="shared" si="34"/>
        <v>1.5</v>
      </c>
      <c r="R84" t="e">
        <f t="shared" si="34"/>
        <v>#N/A</v>
      </c>
    </row>
    <row r="85" spans="4:21" x14ac:dyDescent="0.25">
      <c r="P85">
        <f t="shared" ref="P85:R85" si="35">_xlfn.RANK.AVG(P76,$P76:$R76,0)</f>
        <v>1</v>
      </c>
      <c r="Q85">
        <f t="shared" si="35"/>
        <v>2</v>
      </c>
      <c r="R85" t="e">
        <f t="shared" si="35"/>
        <v>#N/A</v>
      </c>
    </row>
    <row r="86" spans="4:21" x14ac:dyDescent="0.25">
      <c r="E86" s="32"/>
      <c r="F86" s="101" t="s">
        <v>18</v>
      </c>
      <c r="G86" s="101" t="s">
        <v>57</v>
      </c>
      <c r="H86" s="101" t="s">
        <v>65</v>
      </c>
      <c r="I86" s="86" t="s">
        <v>85</v>
      </c>
      <c r="J86" s="29"/>
      <c r="K86" s="27"/>
      <c r="P86" s="30">
        <f t="shared" ref="P86:R86" si="36">AVERAGE(P78:P85)</f>
        <v>1.875</v>
      </c>
      <c r="Q86" s="30">
        <f t="shared" si="36"/>
        <v>1.9375</v>
      </c>
      <c r="R86" s="30" t="e">
        <f t="shared" si="36"/>
        <v>#N/A</v>
      </c>
    </row>
    <row r="87" spans="4:21" x14ac:dyDescent="0.25">
      <c r="E87" s="4"/>
      <c r="F87" s="4">
        <f>F80*(F82-$L$82)^2</f>
        <v>1.0000000000000009</v>
      </c>
      <c r="G87" s="4">
        <f>G80*(G82-$L$82)^2</f>
        <v>0.11111111111111122</v>
      </c>
      <c r="H87" s="4">
        <f>H80*(H82-$L$82)^2</f>
        <v>17.361111111111111</v>
      </c>
      <c r="I87" s="4">
        <f>I80*(I82-$L$82)^2</f>
        <v>12.250000000000002</v>
      </c>
      <c r="J87" s="4"/>
      <c r="K87" s="4"/>
      <c r="L87" s="47">
        <f>SUM(E87:J87)</f>
        <v>30.722222222222221</v>
      </c>
      <c r="M87" s="3">
        <f>L87/((E76*(E76+1))/12)</f>
        <v>18.433333333333334</v>
      </c>
    </row>
    <row r="90" spans="4:21" x14ac:dyDescent="0.25">
      <c r="D90">
        <v>1</v>
      </c>
      <c r="F90">
        <f t="shared" ref="F90:I94" si="37">(F38-$L$82)^2</f>
        <v>2.25</v>
      </c>
      <c r="G90">
        <f t="shared" si="37"/>
        <v>0.25</v>
      </c>
      <c r="H90">
        <f t="shared" si="37"/>
        <v>2.25</v>
      </c>
      <c r="I90">
        <f t="shared" si="37"/>
        <v>0.25</v>
      </c>
      <c r="L90">
        <f>SUM(E90:J90)</f>
        <v>5</v>
      </c>
    </row>
    <row r="91" spans="4:21" x14ac:dyDescent="0.25">
      <c r="D91">
        <v>2</v>
      </c>
      <c r="F91">
        <f t="shared" si="37"/>
        <v>0.25</v>
      </c>
      <c r="G91">
        <f t="shared" si="37"/>
        <v>0.25</v>
      </c>
      <c r="H91">
        <f t="shared" si="37"/>
        <v>2.25</v>
      </c>
      <c r="I91">
        <f t="shared" si="37"/>
        <v>2.25</v>
      </c>
      <c r="L91">
        <f>SUM(E91:J91)</f>
        <v>5</v>
      </c>
      <c r="P91">
        <v>4.5</v>
      </c>
      <c r="Q91">
        <v>6</v>
      </c>
      <c r="R91">
        <v>4.5</v>
      </c>
      <c r="S91">
        <v>3</v>
      </c>
      <c r="T91">
        <v>2</v>
      </c>
      <c r="U91">
        <v>1</v>
      </c>
    </row>
    <row r="92" spans="4:21" x14ac:dyDescent="0.25">
      <c r="D92">
        <v>3</v>
      </c>
      <c r="F92">
        <f t="shared" si="37"/>
        <v>0.25</v>
      </c>
      <c r="G92">
        <f t="shared" si="37"/>
        <v>0.25</v>
      </c>
      <c r="H92">
        <f t="shared" si="37"/>
        <v>2.25</v>
      </c>
      <c r="I92">
        <f t="shared" si="37"/>
        <v>2.25</v>
      </c>
      <c r="L92">
        <f>SUM(E92:J92)</f>
        <v>5</v>
      </c>
      <c r="P92">
        <v>4</v>
      </c>
      <c r="Q92">
        <v>6</v>
      </c>
      <c r="R92">
        <v>5</v>
      </c>
      <c r="S92">
        <v>3</v>
      </c>
      <c r="T92">
        <v>2</v>
      </c>
      <c r="U92">
        <v>1</v>
      </c>
    </row>
    <row r="93" spans="4:21" x14ac:dyDescent="0.25">
      <c r="D93">
        <v>4</v>
      </c>
      <c r="F93">
        <f t="shared" si="37"/>
        <v>2.25</v>
      </c>
      <c r="G93">
        <f t="shared" si="37"/>
        <v>0.25</v>
      </c>
      <c r="H93">
        <f t="shared" si="37"/>
        <v>2.25</v>
      </c>
      <c r="I93">
        <f t="shared" si="37"/>
        <v>0.25</v>
      </c>
      <c r="L93">
        <f>SUM(E93:J93)</f>
        <v>5</v>
      </c>
      <c r="P93">
        <v>4</v>
      </c>
      <c r="Q93">
        <v>6</v>
      </c>
      <c r="R93">
        <v>5</v>
      </c>
      <c r="S93">
        <v>2</v>
      </c>
      <c r="T93">
        <v>1</v>
      </c>
      <c r="U93">
        <v>3</v>
      </c>
    </row>
    <row r="94" spans="4:21" x14ac:dyDescent="0.25">
      <c r="D94">
        <v>5</v>
      </c>
      <c r="F94">
        <f t="shared" si="37"/>
        <v>2.25</v>
      </c>
      <c r="G94">
        <f t="shared" si="37"/>
        <v>0.25</v>
      </c>
      <c r="H94">
        <f t="shared" si="37"/>
        <v>2.25</v>
      </c>
      <c r="I94">
        <f t="shared" si="37"/>
        <v>0.25</v>
      </c>
      <c r="L94">
        <f>SUM(E94:J94)</f>
        <v>5</v>
      </c>
      <c r="P94">
        <v>1</v>
      </c>
      <c r="Q94">
        <v>5.5</v>
      </c>
      <c r="R94">
        <v>3</v>
      </c>
      <c r="S94">
        <v>2</v>
      </c>
      <c r="T94">
        <v>4</v>
      </c>
      <c r="U94">
        <v>5.5</v>
      </c>
    </row>
    <row r="95" spans="4:21" x14ac:dyDescent="0.25">
      <c r="D95">
        <v>6</v>
      </c>
      <c r="F95">
        <f t="shared" ref="F95:I95" si="38">(F43-$L$82)^2</f>
        <v>2.25</v>
      </c>
      <c r="G95">
        <f t="shared" si="38"/>
        <v>0.25</v>
      </c>
      <c r="H95">
        <f t="shared" si="38"/>
        <v>0.25</v>
      </c>
      <c r="I95">
        <f t="shared" si="38"/>
        <v>2.25</v>
      </c>
      <c r="L95">
        <f t="shared" ref="L95:L98" si="39">SUM(E95:J95)</f>
        <v>5</v>
      </c>
    </row>
    <row r="96" spans="4:21" x14ac:dyDescent="0.25">
      <c r="D96">
        <v>7</v>
      </c>
      <c r="F96">
        <f t="shared" ref="F96:I96" si="40">(F44-$L$82)^2</f>
        <v>0.25</v>
      </c>
      <c r="G96">
        <f t="shared" si="40"/>
        <v>0.25</v>
      </c>
      <c r="H96">
        <f t="shared" si="40"/>
        <v>2.25</v>
      </c>
      <c r="I96">
        <f t="shared" si="40"/>
        <v>2.25</v>
      </c>
      <c r="L96">
        <f t="shared" si="39"/>
        <v>5</v>
      </c>
    </row>
    <row r="97" spans="4:25" x14ac:dyDescent="0.25">
      <c r="D97">
        <v>8</v>
      </c>
      <c r="F97">
        <f t="shared" ref="F97:I97" si="41">(F45-$L$82)^2</f>
        <v>0.25</v>
      </c>
      <c r="G97">
        <f t="shared" si="41"/>
        <v>0.25</v>
      </c>
      <c r="H97">
        <f t="shared" si="41"/>
        <v>2.25</v>
      </c>
      <c r="I97">
        <f t="shared" si="41"/>
        <v>2.25</v>
      </c>
      <c r="L97">
        <f t="shared" si="39"/>
        <v>5</v>
      </c>
    </row>
    <row r="98" spans="4:25" x14ac:dyDescent="0.25">
      <c r="D98">
        <v>9</v>
      </c>
      <c r="F98">
        <f t="shared" ref="F98:I98" si="42">(F46-$L$82)^2</f>
        <v>0</v>
      </c>
      <c r="G98">
        <f t="shared" si="42"/>
        <v>0</v>
      </c>
      <c r="H98">
        <f t="shared" si="42"/>
        <v>2.25</v>
      </c>
      <c r="I98">
        <f t="shared" si="42"/>
        <v>2.25</v>
      </c>
      <c r="L98">
        <f t="shared" si="39"/>
        <v>4.5</v>
      </c>
      <c r="P98">
        <v>2.5</v>
      </c>
      <c r="Q98">
        <v>5</v>
      </c>
      <c r="R98">
        <v>2.5</v>
      </c>
      <c r="S98">
        <v>1</v>
      </c>
      <c r="T98">
        <v>6</v>
      </c>
      <c r="U98">
        <v>4</v>
      </c>
    </row>
    <row r="99" spans="4:25" x14ac:dyDescent="0.25">
      <c r="L99" s="48">
        <f>SUM(L90:L98)</f>
        <v>44.5</v>
      </c>
      <c r="P99">
        <v>4</v>
      </c>
      <c r="Q99">
        <v>5</v>
      </c>
      <c r="R99">
        <v>6</v>
      </c>
      <c r="S99">
        <v>1</v>
      </c>
      <c r="T99">
        <v>2.5</v>
      </c>
      <c r="U99">
        <v>2.5</v>
      </c>
    </row>
    <row r="100" spans="4:25" x14ac:dyDescent="0.25">
      <c r="M100" s="28"/>
      <c r="N100" s="8"/>
      <c r="O100" s="8"/>
      <c r="P100" s="28">
        <v>3.5</v>
      </c>
      <c r="Q100" s="28">
        <v>3.5</v>
      </c>
      <c r="R100" s="28">
        <v>3.5</v>
      </c>
      <c r="S100" s="28">
        <v>3.5</v>
      </c>
      <c r="T100" s="28">
        <v>3.5</v>
      </c>
      <c r="U100" s="28">
        <v>3.5</v>
      </c>
      <c r="V100" s="28"/>
      <c r="W100" s="5"/>
      <c r="X100" s="5"/>
      <c r="Y100" s="5"/>
    </row>
    <row r="101" spans="4:25" x14ac:dyDescent="0.25">
      <c r="L101">
        <f>L99/(K17*(K18-1))</f>
        <v>1.6481481481481481</v>
      </c>
      <c r="M101" s="28" t="s">
        <v>93</v>
      </c>
      <c r="N101" s="8">
        <v>0.05</v>
      </c>
      <c r="O101" s="8">
        <v>0.01</v>
      </c>
      <c r="P101" s="28">
        <v>4.5</v>
      </c>
      <c r="Q101" s="28">
        <v>6</v>
      </c>
      <c r="R101" s="28">
        <v>4.5</v>
      </c>
      <c r="S101" s="28">
        <v>2</v>
      </c>
      <c r="T101" s="28">
        <v>1</v>
      </c>
      <c r="U101" s="28">
        <v>3</v>
      </c>
      <c r="V101" s="28"/>
      <c r="Y101" s="5"/>
    </row>
    <row r="102" spans="4:25" x14ac:dyDescent="0.25">
      <c r="J102" t="s">
        <v>89</v>
      </c>
      <c r="L102" s="55">
        <f>L87/L101</f>
        <v>18.640449438202246</v>
      </c>
      <c r="M102" s="28" t="s">
        <v>94</v>
      </c>
      <c r="N102" s="8">
        <f>_xlfn.CHISQ.INV.RT(N101,3)</f>
        <v>7.8147279032511792</v>
      </c>
      <c r="O102" s="8"/>
      <c r="P102" s="28"/>
      <c r="Q102" s="28"/>
      <c r="R102" s="28"/>
      <c r="S102" s="28"/>
      <c r="T102" s="28"/>
      <c r="U102" s="28"/>
      <c r="V102" s="28"/>
      <c r="Y102" s="5"/>
    </row>
    <row r="103" spans="4:25" x14ac:dyDescent="0.25">
      <c r="J103" t="s">
        <v>88</v>
      </c>
      <c r="L103">
        <f>((E75-1)*L102)/((E75*(E76-1))-L102)</f>
        <v>17.838709677419352</v>
      </c>
      <c r="M103" s="28" t="s">
        <v>95</v>
      </c>
      <c r="N103" s="7">
        <f>_xlfn.CHISQ.INV.RT(O101,3)</f>
        <v>11.344866730144371</v>
      </c>
      <c r="O103" s="28"/>
      <c r="P103" s="28"/>
      <c r="Q103" s="28"/>
      <c r="R103" s="28"/>
      <c r="S103" s="28"/>
      <c r="T103" s="28"/>
      <c r="U103" s="28"/>
      <c r="V103" s="28"/>
      <c r="Y103" s="5"/>
    </row>
    <row r="104" spans="4:25" x14ac:dyDescent="0.25">
      <c r="J104" t="s">
        <v>37</v>
      </c>
      <c r="L104" s="55">
        <f>_xlfn.CHISQ.DIST.RT(L102,3)</f>
        <v>3.2441924188541767E-4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Y104" s="5"/>
    </row>
    <row r="105" spans="4:25" x14ac:dyDescent="0.25">
      <c r="M105" s="28"/>
      <c r="N105" s="28"/>
      <c r="O105" s="28"/>
      <c r="P105">
        <v>4.5</v>
      </c>
      <c r="Q105">
        <v>4</v>
      </c>
      <c r="R105">
        <v>4</v>
      </c>
      <c r="S105">
        <v>1</v>
      </c>
      <c r="T105">
        <v>2.5</v>
      </c>
      <c r="U105">
        <v>4</v>
      </c>
      <c r="V105" s="28">
        <v>3.5</v>
      </c>
      <c r="W105" s="28">
        <v>4.5</v>
      </c>
      <c r="Y105" s="5"/>
    </row>
    <row r="106" spans="4:25" ht="15.75" x14ac:dyDescent="0.25">
      <c r="J106" s="56" t="s">
        <v>90</v>
      </c>
      <c r="K106" s="56"/>
      <c r="L106" s="55">
        <f>_xlfn.CHISQ.DIST.RT(L103,3)</f>
        <v>4.7485587773091198E-4</v>
      </c>
      <c r="M106" s="28" t="s">
        <v>91</v>
      </c>
      <c r="N106" s="28">
        <f>E76-1</f>
        <v>3</v>
      </c>
      <c r="O106" s="28"/>
      <c r="P106">
        <v>6</v>
      </c>
      <c r="Q106">
        <v>6</v>
      </c>
      <c r="R106">
        <v>6</v>
      </c>
      <c r="S106">
        <v>5.5</v>
      </c>
      <c r="T106">
        <v>5</v>
      </c>
      <c r="U106">
        <v>5</v>
      </c>
      <c r="V106" s="28">
        <v>3.5</v>
      </c>
      <c r="W106" s="28">
        <v>6</v>
      </c>
      <c r="Y106" s="5"/>
    </row>
    <row r="107" spans="4:25" x14ac:dyDescent="0.25">
      <c r="M107" s="28" t="s">
        <v>92</v>
      </c>
      <c r="N107" s="28">
        <f>(E75-1)*(E76-1)</f>
        <v>24</v>
      </c>
      <c r="O107" s="28"/>
      <c r="P107">
        <v>4.5</v>
      </c>
      <c r="Q107">
        <v>5</v>
      </c>
      <c r="R107">
        <v>5</v>
      </c>
      <c r="S107">
        <v>3</v>
      </c>
      <c r="T107">
        <v>2.5</v>
      </c>
      <c r="U107">
        <v>6</v>
      </c>
      <c r="V107" s="28">
        <v>3.5</v>
      </c>
      <c r="W107" s="28">
        <v>4.5</v>
      </c>
      <c r="Y107" s="5"/>
    </row>
    <row r="108" spans="4:25" x14ac:dyDescent="0.25">
      <c r="L108" s="5"/>
      <c r="M108" s="5"/>
      <c r="N108" s="5"/>
      <c r="O108" s="5"/>
      <c r="P108">
        <v>3</v>
      </c>
      <c r="Q108">
        <v>3</v>
      </c>
      <c r="R108">
        <v>2</v>
      </c>
      <c r="S108">
        <v>2</v>
      </c>
      <c r="T108">
        <v>1</v>
      </c>
      <c r="U108">
        <v>1</v>
      </c>
      <c r="V108" s="28">
        <v>3.5</v>
      </c>
      <c r="W108" s="28">
        <v>2</v>
      </c>
      <c r="Y108" s="5"/>
    </row>
    <row r="109" spans="4:25" ht="15.75" thickBot="1" x14ac:dyDescent="0.3">
      <c r="L109" s="5"/>
      <c r="M109" s="5"/>
      <c r="N109" s="5"/>
      <c r="O109" s="7"/>
      <c r="P109">
        <v>2</v>
      </c>
      <c r="Q109">
        <v>2</v>
      </c>
      <c r="R109">
        <v>1</v>
      </c>
      <c r="S109">
        <v>4</v>
      </c>
      <c r="T109">
        <v>6</v>
      </c>
      <c r="U109">
        <v>2.5</v>
      </c>
      <c r="V109" s="28">
        <v>3.5</v>
      </c>
      <c r="W109" s="28">
        <v>1</v>
      </c>
    </row>
    <row r="110" spans="4:25" ht="15.75" thickBot="1" x14ac:dyDescent="0.3">
      <c r="J110" t="s">
        <v>96</v>
      </c>
      <c r="L110" s="57" t="s">
        <v>182</v>
      </c>
      <c r="M110" s="58" t="s">
        <v>183</v>
      </c>
      <c r="N110" s="5"/>
      <c r="O110" s="5"/>
      <c r="P110">
        <v>1</v>
      </c>
      <c r="Q110">
        <v>1</v>
      </c>
      <c r="R110">
        <v>3</v>
      </c>
      <c r="S110">
        <v>5.5</v>
      </c>
      <c r="T110">
        <v>4</v>
      </c>
      <c r="U110">
        <v>2.5</v>
      </c>
      <c r="V110" s="28">
        <v>3.5</v>
      </c>
      <c r="W110" s="28">
        <v>3</v>
      </c>
    </row>
    <row r="111" spans="4:25" ht="15.75" thickBot="1" x14ac:dyDescent="0.3">
      <c r="L111" s="59">
        <v>3.01</v>
      </c>
      <c r="M111" s="60">
        <v>3.16</v>
      </c>
      <c r="N111" s="5"/>
      <c r="O111" s="5"/>
      <c r="P111" s="5"/>
      <c r="Q111" s="5"/>
    </row>
    <row r="112" spans="4:25" x14ac:dyDescent="0.25">
      <c r="L112" s="5"/>
      <c r="M112" s="5"/>
      <c r="N112" s="5"/>
      <c r="O112" s="5"/>
      <c r="P112" s="5"/>
      <c r="Q112" s="5"/>
    </row>
    <row r="113" spans="4:21" x14ac:dyDescent="0.25">
      <c r="L113" s="5"/>
      <c r="M113" s="5"/>
      <c r="N113" s="5"/>
      <c r="O113" s="5"/>
      <c r="P113" s="5">
        <v>3.5</v>
      </c>
      <c r="Q113" s="5">
        <v>1</v>
      </c>
      <c r="R113">
        <v>3.5</v>
      </c>
      <c r="S113">
        <v>5</v>
      </c>
      <c r="T113">
        <v>6</v>
      </c>
      <c r="U113">
        <v>2</v>
      </c>
    </row>
    <row r="114" spans="4:21" x14ac:dyDescent="0.25">
      <c r="L114" s="4">
        <f>_xlfn.F.INV.RT(0.05,3,24)</f>
        <v>3.0087865704473615</v>
      </c>
      <c r="M114" s="4">
        <f>_xlfn.F.INV.RT(0.05,3,18)</f>
        <v>3.1599075898007243</v>
      </c>
      <c r="N114" s="5"/>
      <c r="O114" s="5"/>
      <c r="P114" s="5">
        <v>6</v>
      </c>
      <c r="Q114" s="5">
        <v>2</v>
      </c>
      <c r="R114">
        <v>4</v>
      </c>
      <c r="S114">
        <v>5</v>
      </c>
      <c r="T114">
        <v>3</v>
      </c>
      <c r="U114">
        <v>1</v>
      </c>
    </row>
    <row r="115" spans="4:21" x14ac:dyDescent="0.25">
      <c r="L115" s="5"/>
      <c r="M115" s="5"/>
      <c r="N115" s="5"/>
      <c r="O115" s="5"/>
      <c r="P115" s="5">
        <v>6</v>
      </c>
      <c r="Q115" s="5">
        <v>3</v>
      </c>
      <c r="R115">
        <v>4</v>
      </c>
      <c r="S115">
        <v>5</v>
      </c>
      <c r="T115">
        <v>2</v>
      </c>
      <c r="U115">
        <v>1</v>
      </c>
    </row>
    <row r="116" spans="4:21" ht="15.75" thickBot="1" x14ac:dyDescent="0.3">
      <c r="L116" s="4"/>
      <c r="M116" s="5"/>
      <c r="N116" s="5"/>
      <c r="O116" s="5"/>
      <c r="P116" s="5">
        <v>5</v>
      </c>
      <c r="Q116" s="5">
        <v>3</v>
      </c>
      <c r="R116">
        <v>2</v>
      </c>
      <c r="S116">
        <v>4</v>
      </c>
      <c r="T116">
        <v>6</v>
      </c>
      <c r="U116">
        <v>1</v>
      </c>
    </row>
    <row r="117" spans="4:21" ht="18" thickBot="1" x14ac:dyDescent="0.3">
      <c r="E117" s="61" t="s">
        <v>100</v>
      </c>
      <c r="F117" s="62">
        <v>2.85</v>
      </c>
      <c r="L117" s="5"/>
      <c r="M117" s="5"/>
      <c r="N117" s="5"/>
      <c r="O117" s="5"/>
      <c r="P117" s="5">
        <v>6</v>
      </c>
      <c r="Q117" s="5">
        <v>3</v>
      </c>
      <c r="R117">
        <v>4</v>
      </c>
      <c r="S117">
        <v>5</v>
      </c>
      <c r="T117">
        <v>1</v>
      </c>
      <c r="U117">
        <v>2</v>
      </c>
    </row>
    <row r="118" spans="4:21" x14ac:dyDescent="0.25">
      <c r="L118" s="5"/>
      <c r="M118" s="5"/>
      <c r="N118" s="5"/>
      <c r="O118" s="5"/>
      <c r="P118" s="5"/>
      <c r="Q118" s="5"/>
    </row>
    <row r="119" spans="4:21" x14ac:dyDescent="0.25">
      <c r="E119" t="s">
        <v>97</v>
      </c>
      <c r="G119">
        <f>SQRT(E49*(E76+1)/(6*E48))</f>
        <v>0.69006555934235425</v>
      </c>
      <c r="L119" s="5"/>
      <c r="M119" s="5"/>
      <c r="N119" s="5"/>
      <c r="O119" s="5"/>
      <c r="P119" s="5">
        <v>3.5</v>
      </c>
      <c r="Q119" s="5">
        <v>6</v>
      </c>
      <c r="R119" s="5">
        <v>6</v>
      </c>
      <c r="S119" s="5">
        <v>5</v>
      </c>
      <c r="T119" s="5">
        <v>6</v>
      </c>
    </row>
    <row r="120" spans="4:21" x14ac:dyDescent="0.25">
      <c r="L120" s="5"/>
      <c r="M120" s="5"/>
      <c r="N120" s="5"/>
      <c r="O120" s="5"/>
      <c r="P120" s="5">
        <v>1</v>
      </c>
      <c r="Q120" s="5">
        <v>2</v>
      </c>
      <c r="R120" s="5">
        <v>3</v>
      </c>
      <c r="S120" s="5">
        <v>3</v>
      </c>
      <c r="T120" s="5">
        <v>3</v>
      </c>
    </row>
    <row r="121" spans="4:21" x14ac:dyDescent="0.25">
      <c r="E121" t="s">
        <v>98</v>
      </c>
      <c r="F121">
        <f>F117*G119</f>
        <v>1.9666868441257097</v>
      </c>
      <c r="L121" s="5"/>
      <c r="M121" s="5"/>
      <c r="N121" s="5"/>
      <c r="O121" s="5"/>
      <c r="P121">
        <v>3.5</v>
      </c>
      <c r="Q121">
        <v>4</v>
      </c>
      <c r="R121">
        <v>4</v>
      </c>
      <c r="S121">
        <v>2</v>
      </c>
      <c r="T121">
        <v>4</v>
      </c>
    </row>
    <row r="122" spans="4:21" x14ac:dyDescent="0.25">
      <c r="E122" t="s">
        <v>99</v>
      </c>
      <c r="F122">
        <f>F117*SQRT(E76*(E76+1)/(6*E75))</f>
        <v>1.7344547654330262</v>
      </c>
      <c r="L122" s="5"/>
      <c r="M122" s="5"/>
      <c r="N122" s="5"/>
      <c r="O122" s="5"/>
      <c r="P122">
        <v>5</v>
      </c>
      <c r="Q122">
        <v>5</v>
      </c>
      <c r="R122">
        <v>5</v>
      </c>
      <c r="S122">
        <v>4</v>
      </c>
      <c r="T122">
        <v>5</v>
      </c>
    </row>
    <row r="123" spans="4:21" x14ac:dyDescent="0.25">
      <c r="L123" s="5"/>
      <c r="M123" s="5"/>
      <c r="N123" s="5"/>
      <c r="O123" s="5"/>
      <c r="P123">
        <v>6</v>
      </c>
      <c r="Q123">
        <v>3</v>
      </c>
      <c r="R123">
        <v>2</v>
      </c>
      <c r="S123">
        <v>6</v>
      </c>
      <c r="T123">
        <v>1</v>
      </c>
    </row>
    <row r="124" spans="4:21" x14ac:dyDescent="0.25">
      <c r="L124" s="5"/>
      <c r="M124" s="5"/>
      <c r="N124" s="5"/>
      <c r="O124" s="5"/>
      <c r="P124">
        <v>2</v>
      </c>
      <c r="Q124">
        <v>1</v>
      </c>
      <c r="R124">
        <v>1</v>
      </c>
      <c r="S124">
        <v>1</v>
      </c>
      <c r="T124">
        <v>2</v>
      </c>
    </row>
    <row r="125" spans="4:21" x14ac:dyDescent="0.25">
      <c r="L125" s="5"/>
      <c r="M125" s="5"/>
      <c r="N125" s="5"/>
      <c r="O125" s="5"/>
      <c r="P125" s="5"/>
      <c r="Q125" s="5"/>
    </row>
    <row r="126" spans="4:21" x14ac:dyDescent="0.25">
      <c r="E126" t="s">
        <v>101</v>
      </c>
      <c r="G126" t="s">
        <v>103</v>
      </c>
      <c r="H126">
        <v>0.48799999999999999</v>
      </c>
      <c r="L126" s="5"/>
      <c r="M126" s="5"/>
      <c r="N126" s="5"/>
      <c r="O126" s="5"/>
      <c r="P126" s="5"/>
      <c r="Q126" s="5"/>
    </row>
    <row r="127" spans="4:21" x14ac:dyDescent="0.25">
      <c r="L127" s="5"/>
      <c r="M127" s="5"/>
      <c r="N127" s="5"/>
      <c r="O127" s="5"/>
      <c r="P127" s="5"/>
      <c r="Q127" s="5"/>
    </row>
    <row r="128" spans="4:21" x14ac:dyDescent="0.25">
      <c r="D128" s="5"/>
      <c r="E128" t="s">
        <v>102</v>
      </c>
      <c r="F128">
        <v>3.1429999999999998</v>
      </c>
      <c r="G128">
        <f>(F128-F129)/H126</f>
        <v>2.4159836065573765</v>
      </c>
      <c r="Q128" s="5"/>
    </row>
    <row r="129" spans="4:19" x14ac:dyDescent="0.25">
      <c r="E129" t="s">
        <v>38</v>
      </c>
      <c r="F129">
        <v>1.964</v>
      </c>
    </row>
    <row r="132" spans="4:19" x14ac:dyDescent="0.25">
      <c r="E132" t="s">
        <v>101</v>
      </c>
      <c r="G132" t="s">
        <v>103</v>
      </c>
      <c r="H132">
        <f>SQRT(E49*(E76+1)/(6*E48))</f>
        <v>0.69006555934235425</v>
      </c>
    </row>
    <row r="134" spans="4:19" x14ac:dyDescent="0.25">
      <c r="D134">
        <v>1</v>
      </c>
      <c r="E134" t="s">
        <v>67</v>
      </c>
      <c r="F134">
        <v>3.5</v>
      </c>
      <c r="G134">
        <f>(F135-F134)/H132</f>
        <v>2.7171331399105196</v>
      </c>
      <c r="H134">
        <f>(_xlfn.NORM.S.DIST(-1*G134,TRUE))*2</f>
        <v>6.5850112355295889E-3</v>
      </c>
      <c r="I134">
        <f>0.05/(4-D134)</f>
        <v>1.6666666666666666E-2</v>
      </c>
    </row>
    <row r="135" spans="4:19" x14ac:dyDescent="0.25">
      <c r="E135" t="s">
        <v>18</v>
      </c>
      <c r="F135">
        <v>5.375</v>
      </c>
    </row>
    <row r="144" spans="4:19" x14ac:dyDescent="0.25">
      <c r="S144" t="s">
        <v>136</v>
      </c>
    </row>
    <row r="145" spans="4:31" x14ac:dyDescent="0.25">
      <c r="E145">
        <v>1</v>
      </c>
      <c r="F145">
        <v>2</v>
      </c>
      <c r="G145">
        <v>3</v>
      </c>
      <c r="H145">
        <v>4</v>
      </c>
      <c r="I145">
        <v>5</v>
      </c>
      <c r="J145">
        <v>6</v>
      </c>
      <c r="M145" t="s">
        <v>119</v>
      </c>
      <c r="N145" t="s">
        <v>120</v>
      </c>
      <c r="O145" t="s">
        <v>121</v>
      </c>
      <c r="P145" t="s">
        <v>122</v>
      </c>
      <c r="Q145" t="s">
        <v>123</v>
      </c>
      <c r="R145" t="s">
        <v>124</v>
      </c>
      <c r="S145" t="s">
        <v>125</v>
      </c>
      <c r="T145" t="s">
        <v>126</v>
      </c>
      <c r="U145" t="s">
        <v>127</v>
      </c>
      <c r="V145" t="s">
        <v>128</v>
      </c>
      <c r="W145" t="s">
        <v>129</v>
      </c>
      <c r="X145" t="s">
        <v>130</v>
      </c>
      <c r="Y145" t="s">
        <v>131</v>
      </c>
      <c r="Z145" t="s">
        <v>132</v>
      </c>
      <c r="AA145" t="s">
        <v>133</v>
      </c>
      <c r="AC145" t="s">
        <v>134</v>
      </c>
      <c r="AD145" t="s">
        <v>135</v>
      </c>
    </row>
    <row r="146" spans="4:31" x14ac:dyDescent="0.25">
      <c r="D146" t="s">
        <v>111</v>
      </c>
      <c r="E146" t="s">
        <v>67</v>
      </c>
      <c r="F146" t="s">
        <v>18</v>
      </c>
      <c r="G146" t="s">
        <v>68</v>
      </c>
      <c r="H146" t="s">
        <v>65</v>
      </c>
      <c r="I146" t="s">
        <v>56</v>
      </c>
      <c r="J146" t="s">
        <v>85</v>
      </c>
      <c r="M146">
        <f>F147-E147</f>
        <v>1.875</v>
      </c>
      <c r="N146">
        <f>G147-E147</f>
        <v>0.75</v>
      </c>
      <c r="O146">
        <f>E147-H147</f>
        <v>1.3125</v>
      </c>
      <c r="P146">
        <f>E147-I147</f>
        <v>0.75</v>
      </c>
      <c r="Q146">
        <f>E147-J147</f>
        <v>0.5625</v>
      </c>
      <c r="R146">
        <f>F147-G147</f>
        <v>1.125</v>
      </c>
      <c r="S146" s="6">
        <f>F147-H147</f>
        <v>3.1875</v>
      </c>
      <c r="T146">
        <f>F147-I147</f>
        <v>2.625</v>
      </c>
      <c r="U146">
        <f>F147-J147</f>
        <v>2.4375</v>
      </c>
      <c r="V146">
        <f>G147-H147</f>
        <v>2.0625</v>
      </c>
      <c r="W146">
        <f>G147-I147</f>
        <v>1.5</v>
      </c>
      <c r="X146">
        <f>G147-J147</f>
        <v>1.3125</v>
      </c>
      <c r="Y146">
        <f>(H147-I147)*-1</f>
        <v>0.5625</v>
      </c>
      <c r="Z146">
        <f>(H147-J147)*-1</f>
        <v>0.75</v>
      </c>
      <c r="AA146">
        <f>(I147-J147)*-1</f>
        <v>0.1875</v>
      </c>
      <c r="AC146">
        <f>MAX(M146:AA146)</f>
        <v>3.1875</v>
      </c>
      <c r="AD146">
        <f>MIN(M146:AA146)</f>
        <v>0.1875</v>
      </c>
      <c r="AE146" s="3"/>
    </row>
    <row r="147" spans="4:31" x14ac:dyDescent="0.25">
      <c r="E147">
        <v>3.5</v>
      </c>
      <c r="F147">
        <v>5.375</v>
      </c>
      <c r="G147">
        <v>4.25</v>
      </c>
      <c r="H147">
        <v>2.1875</v>
      </c>
      <c r="I147">
        <v>2.75</v>
      </c>
      <c r="J147">
        <v>2.9375</v>
      </c>
    </row>
    <row r="150" spans="4:31" x14ac:dyDescent="0.25">
      <c r="M150" t="s">
        <v>113</v>
      </c>
      <c r="N150" t="s">
        <v>115</v>
      </c>
      <c r="O150" t="s">
        <v>114</v>
      </c>
      <c r="P150" t="s">
        <v>116</v>
      </c>
      <c r="Q150" t="s">
        <v>117</v>
      </c>
    </row>
    <row r="151" spans="4:31" x14ac:dyDescent="0.25">
      <c r="D151" t="s">
        <v>112</v>
      </c>
      <c r="E151" t="s">
        <v>67</v>
      </c>
      <c r="F151" t="s">
        <v>18</v>
      </c>
      <c r="G151" t="s">
        <v>68</v>
      </c>
      <c r="H151" t="s">
        <v>65</v>
      </c>
      <c r="I151" t="s">
        <v>56</v>
      </c>
      <c r="J151" t="s">
        <v>85</v>
      </c>
      <c r="M151">
        <f>(F152-E152)*-1</f>
        <v>2.9</v>
      </c>
      <c r="N151">
        <f>(G152-E152)*-1</f>
        <v>1.7999999999999998</v>
      </c>
      <c r="O151">
        <f>E152-H152</f>
        <v>0.5</v>
      </c>
      <c r="P151">
        <f>E152-I152</f>
        <v>1.6999999999999997</v>
      </c>
      <c r="Q151" s="6">
        <f>E152-J152</f>
        <v>3.9</v>
      </c>
      <c r="R151">
        <f>(F152-G152)*-1</f>
        <v>1.1000000000000001</v>
      </c>
      <c r="S151">
        <f>(F152-H152)*-1</f>
        <v>2.4</v>
      </c>
      <c r="T151">
        <f>(F152-I152)*-1</f>
        <v>1.2000000000000002</v>
      </c>
      <c r="U151">
        <f>F152-J152</f>
        <v>1</v>
      </c>
      <c r="V151">
        <f>(G152-H152)*-1</f>
        <v>1.2999999999999998</v>
      </c>
      <c r="W151">
        <f>(G152-I152)*-1</f>
        <v>0.10000000000000009</v>
      </c>
      <c r="X151">
        <f>G152-J152</f>
        <v>2.1</v>
      </c>
      <c r="Y151">
        <f>H152-I152</f>
        <v>1.1999999999999997</v>
      </c>
      <c r="Z151">
        <f>H152-J152</f>
        <v>3.4</v>
      </c>
      <c r="AA151">
        <f>I152-J152</f>
        <v>2.2000000000000002</v>
      </c>
      <c r="AC151">
        <f>MAX(M151:AA151)</f>
        <v>3.9</v>
      </c>
      <c r="AD151">
        <f>MIN(M151:AA151)</f>
        <v>0.10000000000000009</v>
      </c>
      <c r="AE151" s="3"/>
    </row>
    <row r="152" spans="4:31" x14ac:dyDescent="0.25">
      <c r="E152">
        <v>5.3</v>
      </c>
      <c r="F152">
        <v>2.4</v>
      </c>
      <c r="G152">
        <v>3.5</v>
      </c>
      <c r="H152">
        <v>4.8</v>
      </c>
      <c r="I152">
        <v>3.6</v>
      </c>
      <c r="J152">
        <v>1.4</v>
      </c>
    </row>
    <row r="160" spans="4:31" x14ac:dyDescent="0.25">
      <c r="E160" s="16" t="s">
        <v>84</v>
      </c>
    </row>
    <row r="163" spans="4:12" x14ac:dyDescent="0.25">
      <c r="E163" s="11" t="s">
        <v>69</v>
      </c>
      <c r="F163" s="40"/>
      <c r="G163" s="101" t="s">
        <v>18</v>
      </c>
      <c r="H163" s="101" t="s">
        <v>57</v>
      </c>
      <c r="I163" s="101" t="s">
        <v>65</v>
      </c>
      <c r="J163" s="86" t="s">
        <v>85</v>
      </c>
      <c r="K163" s="84"/>
      <c r="L163" s="29" t="s">
        <v>85</v>
      </c>
    </row>
    <row r="164" spans="4:12" x14ac:dyDescent="0.25">
      <c r="D164">
        <v>1</v>
      </c>
      <c r="E164" s="19" t="s">
        <v>48</v>
      </c>
      <c r="G164" t="str">
        <f>CONCATENATE(ROUND(F4,2)," (",F27,")")</f>
        <v>72.47 (4)</v>
      </c>
      <c r="H164" t="str">
        <f t="shared" ref="H164:J164" si="43">CONCATENATE(ROUND(G4,2)," (",G27,")")</f>
        <v>85.1 (3)</v>
      </c>
      <c r="I164" t="str">
        <f t="shared" si="43"/>
        <v>89.79 (2)</v>
      </c>
      <c r="J164" t="str">
        <f t="shared" si="43"/>
        <v>90.14 (1)</v>
      </c>
      <c r="L164" t="str">
        <f>CONCATENATE(J4/100," (",J27,")")</f>
        <v>0 ()</v>
      </c>
    </row>
    <row r="165" spans="4:12" x14ac:dyDescent="0.25">
      <c r="D165">
        <v>2</v>
      </c>
      <c r="E165" s="19" t="s">
        <v>49</v>
      </c>
      <c r="G165" t="str">
        <f t="shared" ref="G165:J165" si="44">CONCATENATE(ROUND(F5,2)," (",F28,")")</f>
        <v>72.48 (4)</v>
      </c>
      <c r="H165" t="str">
        <f t="shared" si="44"/>
        <v>87.43 (2)</v>
      </c>
      <c r="I165" t="str">
        <f t="shared" si="44"/>
        <v>85.69 (3)</v>
      </c>
      <c r="J165" t="str">
        <f t="shared" si="44"/>
        <v>90.73 (1)</v>
      </c>
      <c r="L165" t="str">
        <f>CONCATENATE(J5/100," (",J28,")")</f>
        <v>0 ()</v>
      </c>
    </row>
    <row r="166" spans="4:12" x14ac:dyDescent="0.25">
      <c r="D166">
        <v>3</v>
      </c>
      <c r="E166" s="75" t="s">
        <v>173</v>
      </c>
      <c r="G166" t="str">
        <f t="shared" ref="G166:J166" si="45">CONCATENATE(ROUND(F6,2)," (",F29,")")</f>
        <v>80.33 (4)</v>
      </c>
      <c r="H166" t="str">
        <f t="shared" si="45"/>
        <v>81.41 (3)</v>
      </c>
      <c r="I166" t="str">
        <f t="shared" si="45"/>
        <v>81.45 (1)</v>
      </c>
      <c r="J166" t="str">
        <f t="shared" si="45"/>
        <v>81.44 (2)</v>
      </c>
      <c r="L166" t="e">
        <f>CONCATENATE(J6/100," (",J29,")")</f>
        <v>#VALUE!</v>
      </c>
    </row>
    <row r="167" spans="4:12" x14ac:dyDescent="0.25">
      <c r="D167">
        <v>4</v>
      </c>
      <c r="E167" s="19" t="s">
        <v>51</v>
      </c>
      <c r="G167" t="str">
        <f t="shared" ref="G167:J167" si="46">CONCATENATE(ROUND(F7,2)," (",F30,")")</f>
        <v>72.4 (2)</v>
      </c>
      <c r="H167" t="str">
        <f t="shared" si="46"/>
        <v>71.2 (4)</v>
      </c>
      <c r="I167" t="str">
        <f t="shared" si="46"/>
        <v>73.73 (1)</v>
      </c>
      <c r="J167" t="str">
        <f t="shared" si="46"/>
        <v>72.38 (3)</v>
      </c>
      <c r="L167" t="e">
        <f>CONCATENATE(J7/100," (",J30,")")</f>
        <v>#VALUE!</v>
      </c>
    </row>
    <row r="168" spans="4:12" x14ac:dyDescent="0.25">
      <c r="D168">
        <v>5</v>
      </c>
      <c r="E168" s="19" t="s">
        <v>52</v>
      </c>
      <c r="G168" t="str">
        <f t="shared" ref="G168:J168" si="47">CONCATENATE(ROUND(F8,2)," (",F31,")")</f>
        <v>92.99 (2)</v>
      </c>
      <c r="H168" t="str">
        <f t="shared" si="47"/>
        <v>84.87 (4)</v>
      </c>
      <c r="I168" t="str">
        <f t="shared" si="47"/>
        <v>93.79 (1)</v>
      </c>
      <c r="J168" t="str">
        <f t="shared" si="47"/>
        <v>92.57 (3)</v>
      </c>
      <c r="L168" t="str">
        <f>CONCATENATE(J8/100," (",J31,")")</f>
        <v>0 ()</v>
      </c>
    </row>
    <row r="169" spans="4:12" x14ac:dyDescent="0.25">
      <c r="D169">
        <v>6</v>
      </c>
      <c r="E169" s="19" t="s">
        <v>53</v>
      </c>
      <c r="G169" t="str">
        <f t="shared" ref="G169:J169" si="48">CONCATENATE(ROUND(F9,2)," (",F32,")")</f>
        <v>87.96 (2)</v>
      </c>
      <c r="H169" t="str">
        <f t="shared" si="48"/>
        <v>87.6 (4)</v>
      </c>
      <c r="I169" t="str">
        <f t="shared" si="48"/>
        <v>88.69 (1)</v>
      </c>
      <c r="J169" t="str">
        <f t="shared" si="48"/>
        <v>87.86 (3)</v>
      </c>
      <c r="L169" t="str">
        <f>CONCATENATE(J9/100," (",J33,")")</f>
        <v>0 ()</v>
      </c>
    </row>
    <row r="170" spans="4:12" x14ac:dyDescent="0.25">
      <c r="D170">
        <v>7</v>
      </c>
      <c r="E170" s="19" t="s">
        <v>55</v>
      </c>
      <c r="G170" t="str">
        <f t="shared" ref="G170:J170" si="49">CONCATENATE(ROUND(F10,2)," (",F33,")")</f>
        <v>86.43 (4)</v>
      </c>
      <c r="H170" t="str">
        <f t="shared" si="49"/>
        <v>91.77 (2)</v>
      </c>
      <c r="I170" t="str">
        <f t="shared" si="49"/>
        <v>94.48 (1)</v>
      </c>
      <c r="J170" t="str">
        <f t="shared" si="49"/>
        <v>89.65 (3)</v>
      </c>
      <c r="L170" t="e">
        <f>CONCATENATE(#REF!/100," (",#REF!,")")</f>
        <v>#REF!</v>
      </c>
    </row>
    <row r="173" spans="4:12" x14ac:dyDescent="0.25">
      <c r="E173" s="11" t="s">
        <v>69</v>
      </c>
      <c r="F173" s="40"/>
      <c r="G173" s="101" t="s">
        <v>18</v>
      </c>
      <c r="H173" s="101" t="s">
        <v>57</v>
      </c>
      <c r="I173" s="101" t="s">
        <v>65</v>
      </c>
      <c r="J173" s="86" t="s">
        <v>85</v>
      </c>
      <c r="K173" s="84"/>
      <c r="L173" s="29" t="s">
        <v>85</v>
      </c>
    </row>
    <row r="174" spans="4:12" x14ac:dyDescent="0.25">
      <c r="D174">
        <v>1</v>
      </c>
      <c r="E174" s="88" t="s">
        <v>76</v>
      </c>
      <c r="F174" s="33"/>
      <c r="G174" t="str">
        <f>CONCATENATE(ROUND(F14,2)," (",F38,")")</f>
        <v>91.24 (1)</v>
      </c>
      <c r="H174" t="str">
        <f t="shared" ref="H174:J174" si="50">CONCATENATE(ROUND(G14,2)," (",G38,")")</f>
        <v>90.28 (3)</v>
      </c>
      <c r="I174" t="str">
        <f t="shared" si="50"/>
        <v>89.74 (4)</v>
      </c>
      <c r="J174" t="str">
        <f t="shared" si="50"/>
        <v>90.94 (2)</v>
      </c>
      <c r="L174" t="str">
        <f>CONCATENATE(J14/100," (",J38,")")</f>
        <v>0 ()</v>
      </c>
    </row>
    <row r="175" spans="4:12" x14ac:dyDescent="0.25">
      <c r="D175">
        <v>2</v>
      </c>
      <c r="E175" s="88" t="s">
        <v>75</v>
      </c>
      <c r="G175" t="str">
        <f t="shared" ref="G175:J175" si="51">CONCATENATE(ROUND(F15,2)," (",F39,")")</f>
        <v>86.2 (2)</v>
      </c>
      <c r="H175" t="str">
        <f t="shared" si="51"/>
        <v>86.14 (3)</v>
      </c>
      <c r="I175" t="str">
        <f t="shared" si="51"/>
        <v>55.08 (4)</v>
      </c>
      <c r="J175" t="str">
        <f t="shared" si="51"/>
        <v>87.22 (1)</v>
      </c>
      <c r="L175" t="str">
        <f>CONCATENATE(J15/100," (",J39,")")</f>
        <v>0 ()</v>
      </c>
    </row>
    <row r="176" spans="4:12" x14ac:dyDescent="0.25">
      <c r="D176">
        <v>3</v>
      </c>
      <c r="E176" s="75" t="s">
        <v>169</v>
      </c>
      <c r="G176" t="str">
        <f t="shared" ref="G176:J176" si="52">CONCATENATE(ROUND(F16,2)," (",F40,")")</f>
        <v>89.68 (2)</v>
      </c>
      <c r="H176" t="str">
        <f t="shared" si="52"/>
        <v>88.66 (3)</v>
      </c>
      <c r="I176" t="str">
        <f t="shared" si="52"/>
        <v>88.66 (4)</v>
      </c>
      <c r="J176" t="str">
        <f t="shared" si="52"/>
        <v>92.57 (1)</v>
      </c>
      <c r="L176" t="str">
        <f>CONCATENATE(J20/100," (",J40,")")</f>
        <v>0 ()</v>
      </c>
    </row>
    <row r="177" spans="4:12" x14ac:dyDescent="0.25">
      <c r="D177">
        <v>4</v>
      </c>
      <c r="E177" s="19" t="s">
        <v>170</v>
      </c>
      <c r="G177" t="str">
        <f t="shared" ref="G177:J177" si="53">CONCATENATE(ROUND(F17,2)," (",F41,")")</f>
        <v>87.83 (1)</v>
      </c>
      <c r="H177" t="str">
        <f t="shared" si="53"/>
        <v>87.35 (3)</v>
      </c>
      <c r="I177" t="str">
        <f t="shared" si="53"/>
        <v>85.14 (4)</v>
      </c>
      <c r="J177" t="str">
        <f t="shared" si="53"/>
        <v>87.75 (2)</v>
      </c>
      <c r="L177" t="str">
        <f>CONCATENATE(J21/100," (",J41,")")</f>
        <v>0 ()</v>
      </c>
    </row>
    <row r="178" spans="4:12" x14ac:dyDescent="0.25">
      <c r="D178">
        <v>5</v>
      </c>
      <c r="E178" s="19" t="s">
        <v>171</v>
      </c>
      <c r="G178" t="str">
        <f t="shared" ref="G178:J178" si="54">CONCATENATE(ROUND(F18,2)," (",F42,")")</f>
        <v>93.76 (1)</v>
      </c>
      <c r="H178" t="str">
        <f t="shared" si="54"/>
        <v>93.55 (3)</v>
      </c>
      <c r="I178" t="str">
        <f t="shared" si="54"/>
        <v>93.36 (4)</v>
      </c>
      <c r="J178" t="str">
        <f t="shared" si="54"/>
        <v>93.73 (2)</v>
      </c>
      <c r="L178" t="str">
        <f>CONCATENATE(J22/100," (",J42,")")</f>
        <v>0 ()</v>
      </c>
    </row>
    <row r="179" spans="4:12" x14ac:dyDescent="0.25">
      <c r="E179" s="100" t="s">
        <v>172</v>
      </c>
      <c r="G179" t="str">
        <f t="shared" ref="G179:J179" si="55">CONCATENATE(ROUND(F19,2)," (",F43,")")</f>
        <v>66.87 (4)</v>
      </c>
      <c r="H179" t="str">
        <f t="shared" si="55"/>
        <v>88.14 (2)</v>
      </c>
      <c r="I179" t="str">
        <f t="shared" si="55"/>
        <v>82.64 (3)</v>
      </c>
      <c r="J179" t="str">
        <f t="shared" si="55"/>
        <v>90.75 (1)</v>
      </c>
    </row>
    <row r="180" spans="4:12" x14ac:dyDescent="0.25">
      <c r="E180" s="88" t="s">
        <v>77</v>
      </c>
      <c r="G180" t="str">
        <f t="shared" ref="G180:J180" si="56">CONCATENATE(ROUND(F20,2)," (",F44,")")</f>
        <v>86.65 (3)</v>
      </c>
      <c r="H180" t="str">
        <f t="shared" si="56"/>
        <v>88.04 (2)</v>
      </c>
      <c r="I180" t="str">
        <f t="shared" si="56"/>
        <v>80.92 (4)</v>
      </c>
      <c r="J180" t="str">
        <f t="shared" si="56"/>
        <v>89.23 (1)</v>
      </c>
    </row>
    <row r="181" spans="4:12" x14ac:dyDescent="0.25">
      <c r="E181" s="95" t="s">
        <v>78</v>
      </c>
      <c r="G181" t="str">
        <f t="shared" ref="G181:J181" si="57">CONCATENATE(ROUND(F21,2)," (",F45,")")</f>
        <v>88.66 (3)</v>
      </c>
      <c r="H181" t="str">
        <f t="shared" si="57"/>
        <v>92.81 (2)</v>
      </c>
      <c r="I181" t="str">
        <f t="shared" si="57"/>
        <v>88.04 (4)</v>
      </c>
      <c r="J181" t="str">
        <f t="shared" si="57"/>
        <v>94.01 (1)</v>
      </c>
    </row>
    <row r="182" spans="4:12" x14ac:dyDescent="0.25">
      <c r="E182" s="88" t="s">
        <v>79</v>
      </c>
      <c r="G182" t="str">
        <f t="shared" ref="G182:J182" si="58">CONCATENATE(ROUND(F22,2)," (",F46,")")</f>
        <v>90.78 (2.5)</v>
      </c>
      <c r="H182" t="str">
        <f t="shared" si="58"/>
        <v>90.78 (2.5)</v>
      </c>
      <c r="I182" t="str">
        <f t="shared" si="58"/>
        <v>77.65 (4)</v>
      </c>
      <c r="J182" t="str">
        <f t="shared" si="58"/>
        <v>92.23 (1)</v>
      </c>
    </row>
  </sheetData>
  <pageMargins left="0.7" right="0.7" top="0.75" bottom="0.75" header="0.3" footer="0.3"/>
  <pageSetup paperSize="9" orientation="portrait" r:id="rId1"/>
  <ignoredErrors>
    <ignoredError sqref="H59:I59 L62:L66 L67" evalError="1"/>
    <ignoredError sqref="I8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8"/>
  <sheetViews>
    <sheetView topLeftCell="C10" zoomScale="70" zoomScaleNormal="70" workbookViewId="0">
      <selection activeCell="F33" sqref="F33:I33"/>
    </sheetView>
  </sheetViews>
  <sheetFormatPr defaultRowHeight="15" x14ac:dyDescent="0.25"/>
  <cols>
    <col min="1" max="1" width="12.42578125" bestFit="1" customWidth="1"/>
    <col min="4" max="4" width="34.28515625" bestFit="1" customWidth="1"/>
    <col min="5" max="5" width="24.140625" bestFit="1" customWidth="1"/>
    <col min="6" max="6" width="24.5703125" bestFit="1" customWidth="1"/>
    <col min="7" max="7" width="15.85546875" customWidth="1"/>
    <col min="8" max="9" width="21.5703125" bestFit="1" customWidth="1"/>
    <col min="10" max="10" width="18.5703125" bestFit="1" customWidth="1"/>
    <col min="11" max="11" width="18.5703125" customWidth="1"/>
    <col min="12" max="12" width="18.5703125" bestFit="1" customWidth="1"/>
    <col min="13" max="13" width="20.140625" bestFit="1" customWidth="1"/>
    <col min="14" max="14" width="16.28515625" bestFit="1" customWidth="1"/>
    <col min="15" max="15" width="18.7109375" customWidth="1"/>
    <col min="16" max="17" width="16.85546875" bestFit="1" customWidth="1"/>
    <col min="18" max="18" width="16.28515625" bestFit="1" customWidth="1"/>
    <col min="19" max="19" width="15.140625" bestFit="1" customWidth="1"/>
  </cols>
  <sheetData>
    <row r="1" spans="1:24" x14ac:dyDescent="0.25">
      <c r="D1" t="s">
        <v>71</v>
      </c>
      <c r="E1" t="s">
        <v>72</v>
      </c>
      <c r="F1" t="s">
        <v>180</v>
      </c>
      <c r="G1" t="s">
        <v>74</v>
      </c>
    </row>
    <row r="2" spans="1:24" ht="62.25" customHeight="1" x14ac:dyDescent="0.25">
      <c r="D2" s="16" t="s">
        <v>66</v>
      </c>
      <c r="I2" s="87"/>
      <c r="J2" s="87"/>
      <c r="K2" s="87"/>
      <c r="L2" s="87"/>
      <c r="M2" s="10"/>
      <c r="O2" s="13" t="s">
        <v>161</v>
      </c>
    </row>
    <row r="3" spans="1:24" ht="15" customHeight="1" x14ac:dyDescent="0.25">
      <c r="B3" t="s">
        <v>161</v>
      </c>
      <c r="C3" s="9"/>
      <c r="D3" s="11" t="s">
        <v>69</v>
      </c>
      <c r="E3" s="89"/>
      <c r="F3" s="90" t="s">
        <v>192</v>
      </c>
      <c r="G3" s="90" t="s">
        <v>184</v>
      </c>
      <c r="H3" s="90" t="s">
        <v>191</v>
      </c>
      <c r="I3" s="94" t="s">
        <v>190</v>
      </c>
      <c r="J3" s="10"/>
      <c r="K3" s="27"/>
      <c r="L3" s="27"/>
      <c r="M3" s="10"/>
      <c r="N3" s="103" t="s">
        <v>67</v>
      </c>
      <c r="O3" s="102" t="s">
        <v>56</v>
      </c>
      <c r="P3" s="29" t="s">
        <v>85</v>
      </c>
      <c r="Q3" s="64"/>
    </row>
    <row r="4" spans="1:24" x14ac:dyDescent="0.25">
      <c r="A4" t="s">
        <v>177</v>
      </c>
      <c r="B4">
        <v>0</v>
      </c>
      <c r="C4" s="9">
        <v>1</v>
      </c>
      <c r="D4" s="19" t="s">
        <v>48</v>
      </c>
      <c r="E4" s="19" t="s">
        <v>193</v>
      </c>
      <c r="F4" s="37">
        <v>90.14</v>
      </c>
      <c r="G4" s="37">
        <f>HDWM!I4</f>
        <v>90.14</v>
      </c>
      <c r="H4" s="119">
        <v>91.7</v>
      </c>
      <c r="I4" s="120">
        <v>91.15</v>
      </c>
      <c r="J4" s="85"/>
      <c r="K4" s="104"/>
      <c r="L4" s="85"/>
      <c r="M4" s="85"/>
      <c r="T4" s="4"/>
      <c r="U4" s="4"/>
      <c r="V4" s="4"/>
    </row>
    <row r="5" spans="1:24" x14ac:dyDescent="0.25">
      <c r="A5" t="s">
        <v>178</v>
      </c>
      <c r="B5">
        <v>0</v>
      </c>
      <c r="C5" s="9">
        <v>2</v>
      </c>
      <c r="D5" s="19" t="s">
        <v>49</v>
      </c>
      <c r="E5" s="19" t="s">
        <v>194</v>
      </c>
      <c r="F5" s="37">
        <v>90.73</v>
      </c>
      <c r="G5" s="37">
        <f>HDWM!I5</f>
        <v>90.73</v>
      </c>
      <c r="H5" s="37">
        <v>91.23</v>
      </c>
      <c r="I5" s="120">
        <v>87.98</v>
      </c>
      <c r="J5" s="85"/>
      <c r="K5" s="104"/>
      <c r="L5" s="85"/>
      <c r="M5" s="85"/>
      <c r="T5" s="4"/>
      <c r="U5" s="4"/>
      <c r="V5" s="4"/>
    </row>
    <row r="6" spans="1:24" x14ac:dyDescent="0.25">
      <c r="A6" t="s">
        <v>179</v>
      </c>
      <c r="B6">
        <v>0</v>
      </c>
      <c r="C6" s="9">
        <v>3</v>
      </c>
      <c r="D6" s="75" t="s">
        <v>173</v>
      </c>
      <c r="E6" s="75" t="s">
        <v>195</v>
      </c>
      <c r="F6" s="37">
        <v>81.44</v>
      </c>
      <c r="G6" s="37">
        <f>HDWM!I6</f>
        <v>81.44</v>
      </c>
      <c r="H6" s="119">
        <v>81.180000000000007</v>
      </c>
      <c r="I6" s="120">
        <v>82.55</v>
      </c>
      <c r="J6" s="88" t="s">
        <v>24</v>
      </c>
      <c r="K6" s="49">
        <v>7</v>
      </c>
      <c r="L6" s="53"/>
      <c r="M6" s="10"/>
      <c r="R6" s="2"/>
      <c r="S6" s="4"/>
      <c r="T6" s="4"/>
      <c r="U6" s="4"/>
      <c r="V6" s="4"/>
    </row>
    <row r="7" spans="1:24" x14ac:dyDescent="0.25">
      <c r="B7">
        <v>0</v>
      </c>
      <c r="C7" s="9">
        <v>4</v>
      </c>
      <c r="D7" s="19" t="s">
        <v>51</v>
      </c>
      <c r="E7" s="19" t="s">
        <v>196</v>
      </c>
      <c r="F7" s="37">
        <v>72.38</v>
      </c>
      <c r="G7" s="37">
        <f>HDWM!I7</f>
        <v>72.379999999999967</v>
      </c>
      <c r="H7" s="37">
        <v>73.510000000000005</v>
      </c>
      <c r="I7" s="120">
        <v>73.3</v>
      </c>
      <c r="J7" s="16" t="s">
        <v>63</v>
      </c>
      <c r="K7" s="49">
        <v>4</v>
      </c>
      <c r="L7" s="106"/>
      <c r="M7" s="10"/>
      <c r="R7" s="14"/>
      <c r="S7" s="4"/>
      <c r="T7" s="4"/>
      <c r="U7" s="4"/>
      <c r="V7" s="4"/>
      <c r="X7" s="2"/>
    </row>
    <row r="8" spans="1:24" x14ac:dyDescent="0.25">
      <c r="B8">
        <v>0</v>
      </c>
      <c r="C8" s="9">
        <v>5</v>
      </c>
      <c r="D8" s="19" t="s">
        <v>52</v>
      </c>
      <c r="E8" s="19" t="s">
        <v>197</v>
      </c>
      <c r="F8" s="37">
        <v>92.57</v>
      </c>
      <c r="G8" s="37">
        <f>HDWM!I8</f>
        <v>92.564999999999984</v>
      </c>
      <c r="H8" s="37">
        <v>93.8</v>
      </c>
      <c r="I8" s="120">
        <v>88.53</v>
      </c>
      <c r="J8" s="10"/>
      <c r="K8" s="107"/>
      <c r="L8" s="85"/>
      <c r="M8" s="10"/>
      <c r="R8" s="4"/>
      <c r="S8" s="4"/>
      <c r="T8" s="4"/>
      <c r="U8" s="4"/>
      <c r="V8" s="4"/>
    </row>
    <row r="9" spans="1:24" x14ac:dyDescent="0.25">
      <c r="B9">
        <v>0</v>
      </c>
      <c r="C9" s="9">
        <v>6</v>
      </c>
      <c r="D9" s="19" t="s">
        <v>53</v>
      </c>
      <c r="E9" s="19" t="s">
        <v>53</v>
      </c>
      <c r="F9" s="37">
        <v>87.86</v>
      </c>
      <c r="G9" s="37">
        <f>HDWM!I9</f>
        <v>87.86</v>
      </c>
      <c r="H9" s="37">
        <v>88.54</v>
      </c>
      <c r="I9" s="120">
        <v>88.84</v>
      </c>
      <c r="J9" s="10"/>
      <c r="K9" s="105"/>
      <c r="L9" s="85"/>
      <c r="M9" s="10"/>
      <c r="R9" s="4"/>
      <c r="S9" s="4"/>
      <c r="T9" s="4"/>
      <c r="U9" s="4"/>
      <c r="V9" s="4"/>
    </row>
    <row r="10" spans="1:24" x14ac:dyDescent="0.25">
      <c r="B10">
        <v>0</v>
      </c>
      <c r="C10" s="9">
        <v>7</v>
      </c>
      <c r="D10" s="19" t="s">
        <v>55</v>
      </c>
      <c r="E10" s="19" t="s">
        <v>198</v>
      </c>
      <c r="F10" s="37">
        <v>89.65</v>
      </c>
      <c r="G10" s="37">
        <f>HDWM!I10</f>
        <v>89.65</v>
      </c>
      <c r="H10" s="37">
        <v>94.59</v>
      </c>
      <c r="I10" s="120">
        <v>94.59</v>
      </c>
      <c r="J10" s="10"/>
      <c r="K10" s="104"/>
      <c r="L10" s="85"/>
      <c r="M10" s="10"/>
      <c r="R10" s="4"/>
      <c r="S10" s="4"/>
      <c r="T10" s="4"/>
      <c r="U10" s="4"/>
      <c r="V10" s="4"/>
    </row>
    <row r="11" spans="1:24" x14ac:dyDescent="0.25">
      <c r="C11" s="9"/>
      <c r="D11" s="9" t="s">
        <v>87</v>
      </c>
      <c r="E11" s="91"/>
      <c r="F11" s="97">
        <f>AVERAGE(F4:F10)</f>
        <v>86.395714285714277</v>
      </c>
      <c r="G11" s="97">
        <f>AVERAGE(G4:G10)</f>
        <v>86.394999999999982</v>
      </c>
      <c r="H11" s="97">
        <f>AVERAGE(H4:H10)</f>
        <v>87.792857142857159</v>
      </c>
      <c r="I11" s="98">
        <f>AVERAGE(I4:I10)</f>
        <v>86.705714285714294</v>
      </c>
      <c r="J11" s="53"/>
      <c r="K11" s="105"/>
      <c r="L11" s="105"/>
      <c r="M11" s="10"/>
      <c r="N11" s="4"/>
      <c r="R11" s="4"/>
      <c r="S11" s="4"/>
      <c r="T11" s="4"/>
      <c r="U11" s="4"/>
      <c r="V11" s="4"/>
    </row>
    <row r="12" spans="1:24" x14ac:dyDescent="0.25">
      <c r="E12" s="92"/>
      <c r="F12" s="92"/>
      <c r="G12" s="92"/>
      <c r="H12" s="39"/>
      <c r="I12" s="93"/>
      <c r="J12" s="10"/>
      <c r="K12" s="53"/>
      <c r="L12" s="10"/>
      <c r="M12" s="10"/>
      <c r="R12" s="4"/>
      <c r="S12" s="4"/>
      <c r="T12" s="4"/>
      <c r="U12" s="4"/>
      <c r="V12" s="4"/>
    </row>
    <row r="13" spans="1:24" ht="15" customHeight="1" x14ac:dyDescent="0.25">
      <c r="C13" s="9"/>
      <c r="D13" s="11" t="s">
        <v>69</v>
      </c>
      <c r="E13" s="89"/>
      <c r="F13" s="90" t="s">
        <v>187</v>
      </c>
      <c r="G13" s="90" t="s">
        <v>184</v>
      </c>
      <c r="H13" s="90" t="s">
        <v>185</v>
      </c>
      <c r="I13" s="94" t="s">
        <v>186</v>
      </c>
      <c r="J13" s="10"/>
      <c r="K13" s="27"/>
      <c r="L13" s="27"/>
      <c r="M13" s="10"/>
      <c r="P13" s="13"/>
      <c r="Q13" s="13"/>
      <c r="R13" s="13"/>
      <c r="S13" s="26"/>
    </row>
    <row r="14" spans="1:24" x14ac:dyDescent="0.25">
      <c r="A14" t="s">
        <v>176</v>
      </c>
      <c r="C14" s="9">
        <v>1</v>
      </c>
      <c r="D14" s="88" t="s">
        <v>76</v>
      </c>
      <c r="E14" s="88" t="s">
        <v>76</v>
      </c>
      <c r="F14" s="99">
        <v>90.8</v>
      </c>
      <c r="G14" s="16">
        <v>90.8</v>
      </c>
      <c r="H14" s="99">
        <v>89.76</v>
      </c>
      <c r="I14" s="99">
        <v>89.76</v>
      </c>
      <c r="J14" s="108"/>
      <c r="K14" s="109"/>
      <c r="L14" s="53"/>
      <c r="M14" s="108"/>
      <c r="R14" s="4"/>
      <c r="S14" s="4"/>
      <c r="T14" s="4"/>
      <c r="U14" s="4"/>
      <c r="V14" s="4"/>
    </row>
    <row r="15" spans="1:24" x14ac:dyDescent="0.25">
      <c r="A15" t="s">
        <v>175</v>
      </c>
      <c r="C15" s="9">
        <v>2</v>
      </c>
      <c r="D15" s="88" t="s">
        <v>75</v>
      </c>
      <c r="E15" s="88" t="s">
        <v>75</v>
      </c>
      <c r="F15" s="30">
        <v>87.95</v>
      </c>
      <c r="G15" s="30">
        <v>87.93</v>
      </c>
      <c r="H15" s="30">
        <v>81.23</v>
      </c>
      <c r="I15" s="96">
        <v>81.38</v>
      </c>
      <c r="J15" s="110"/>
      <c r="K15" s="109"/>
      <c r="L15" s="53"/>
      <c r="M15" s="110"/>
      <c r="R15" s="4"/>
      <c r="S15" s="4"/>
      <c r="T15" s="4"/>
      <c r="U15" s="4"/>
      <c r="V15" s="4"/>
    </row>
    <row r="16" spans="1:24" x14ac:dyDescent="0.25">
      <c r="B16">
        <v>5</v>
      </c>
      <c r="C16" s="9">
        <v>3</v>
      </c>
      <c r="D16" s="88" t="s">
        <v>77</v>
      </c>
      <c r="E16" s="88" t="s">
        <v>77</v>
      </c>
      <c r="F16" s="30">
        <v>89.69</v>
      </c>
      <c r="G16" s="30">
        <v>89.69</v>
      </c>
      <c r="H16" s="30">
        <v>87.87</v>
      </c>
      <c r="I16" s="96">
        <v>85.25</v>
      </c>
      <c r="J16" s="110"/>
      <c r="K16" s="109"/>
      <c r="L16" s="53"/>
      <c r="M16" s="110"/>
      <c r="R16" s="4"/>
      <c r="S16" s="4"/>
      <c r="T16" s="4"/>
      <c r="U16" s="4"/>
      <c r="V16" s="4"/>
    </row>
    <row r="17" spans="2:22" x14ac:dyDescent="0.25">
      <c r="B17">
        <v>3</v>
      </c>
      <c r="C17" s="9">
        <v>4</v>
      </c>
      <c r="D17" s="95" t="s">
        <v>78</v>
      </c>
      <c r="E17" s="95" t="s">
        <v>78</v>
      </c>
      <c r="F17" s="30">
        <v>94</v>
      </c>
      <c r="G17" s="30">
        <v>94</v>
      </c>
      <c r="H17" s="30">
        <v>88.42</v>
      </c>
      <c r="I17" s="96">
        <v>88.52</v>
      </c>
      <c r="J17" s="88" t="s">
        <v>24</v>
      </c>
      <c r="K17" s="49">
        <v>5</v>
      </c>
      <c r="L17" s="53"/>
      <c r="M17" s="110"/>
      <c r="R17" s="4"/>
      <c r="S17" s="4"/>
      <c r="T17" s="4"/>
      <c r="U17" s="4"/>
      <c r="V17" s="4"/>
    </row>
    <row r="18" spans="2:22" x14ac:dyDescent="0.25">
      <c r="B18">
        <v>3</v>
      </c>
      <c r="C18" s="9">
        <v>5</v>
      </c>
      <c r="D18" s="88" t="s">
        <v>79</v>
      </c>
      <c r="E18" s="88" t="s">
        <v>79</v>
      </c>
      <c r="F18" s="30">
        <v>92.2</v>
      </c>
      <c r="G18" s="30">
        <v>92.2</v>
      </c>
      <c r="H18" s="30">
        <v>87.25</v>
      </c>
      <c r="I18" s="96">
        <v>83.95</v>
      </c>
      <c r="J18" s="16" t="s">
        <v>63</v>
      </c>
      <c r="K18" s="49">
        <v>4</v>
      </c>
      <c r="L18" s="53"/>
      <c r="M18" s="110"/>
      <c r="R18" s="4"/>
      <c r="S18" s="4"/>
      <c r="T18" s="4"/>
      <c r="U18" s="4"/>
      <c r="V18" s="4"/>
    </row>
    <row r="19" spans="2:22" ht="15.75" customHeight="1" x14ac:dyDescent="0.25">
      <c r="C19" s="9"/>
      <c r="D19" s="9" t="s">
        <v>86</v>
      </c>
      <c r="E19" s="91"/>
      <c r="F19" s="97">
        <f>AVERAGE(F14:F18)</f>
        <v>90.927999999999997</v>
      </c>
      <c r="G19" s="97">
        <f>AVERAGE(G14:G18)</f>
        <v>90.924000000000007</v>
      </c>
      <c r="H19" s="97">
        <f>AVERAGE(H14:H18)</f>
        <v>86.906000000000006</v>
      </c>
      <c r="I19" s="98">
        <f>AVERAGE(I14:I18)</f>
        <v>85.771999999999991</v>
      </c>
      <c r="J19" s="10"/>
      <c r="K19" s="111"/>
      <c r="L19" s="53"/>
      <c r="M19" s="10"/>
      <c r="N19" s="4"/>
    </row>
    <row r="20" spans="2:22" x14ac:dyDescent="0.25">
      <c r="D20" s="12" t="s">
        <v>70</v>
      </c>
      <c r="J20" s="10"/>
      <c r="K20" s="10"/>
      <c r="L20" s="10"/>
      <c r="M20" s="10"/>
    </row>
    <row r="21" spans="2:22" x14ac:dyDescent="0.25">
      <c r="D21" s="12" t="s">
        <v>73</v>
      </c>
      <c r="L21" s="6"/>
    </row>
    <row r="22" spans="2:22" x14ac:dyDescent="0.25">
      <c r="D22" s="54"/>
      <c r="F22" s="90" t="s">
        <v>192</v>
      </c>
      <c r="G22" s="90" t="s">
        <v>184</v>
      </c>
      <c r="H22" s="90" t="s">
        <v>191</v>
      </c>
      <c r="I22" s="94" t="s">
        <v>190</v>
      </c>
      <c r="L22" s="6"/>
    </row>
    <row r="23" spans="2:22" x14ac:dyDescent="0.25">
      <c r="C23" s="9">
        <v>1</v>
      </c>
      <c r="D23" s="19" t="s">
        <v>48</v>
      </c>
      <c r="E23" s="19" t="s">
        <v>48</v>
      </c>
      <c r="F23">
        <f t="shared" ref="F23:I29" si="0">_xlfn.RANK.AVG(F4,$F4:$I4,0)</f>
        <v>3.5</v>
      </c>
      <c r="G23">
        <f t="shared" si="0"/>
        <v>3.5</v>
      </c>
      <c r="H23">
        <f t="shared" si="0"/>
        <v>1</v>
      </c>
      <c r="I23">
        <f t="shared" si="0"/>
        <v>2</v>
      </c>
    </row>
    <row r="24" spans="2:22" x14ac:dyDescent="0.25">
      <c r="C24" s="9">
        <v>2</v>
      </c>
      <c r="D24" s="19" t="s">
        <v>49</v>
      </c>
      <c r="E24" s="19" t="s">
        <v>49</v>
      </c>
      <c r="F24">
        <f t="shared" si="0"/>
        <v>2.5</v>
      </c>
      <c r="G24">
        <f t="shared" si="0"/>
        <v>2.5</v>
      </c>
      <c r="H24">
        <f t="shared" si="0"/>
        <v>1</v>
      </c>
      <c r="I24">
        <f t="shared" si="0"/>
        <v>4</v>
      </c>
    </row>
    <row r="25" spans="2:22" x14ac:dyDescent="0.25">
      <c r="C25" s="9">
        <v>3</v>
      </c>
      <c r="D25" s="75" t="s">
        <v>173</v>
      </c>
      <c r="E25" s="75" t="s">
        <v>173</v>
      </c>
      <c r="F25">
        <f t="shared" si="0"/>
        <v>2.5</v>
      </c>
      <c r="G25">
        <f t="shared" si="0"/>
        <v>2.5</v>
      </c>
      <c r="H25">
        <f t="shared" si="0"/>
        <v>4</v>
      </c>
      <c r="I25">
        <f t="shared" si="0"/>
        <v>1</v>
      </c>
    </row>
    <row r="26" spans="2:22" x14ac:dyDescent="0.25">
      <c r="C26" s="9">
        <v>4</v>
      </c>
      <c r="D26" s="19" t="s">
        <v>51</v>
      </c>
      <c r="E26" s="19" t="s">
        <v>51</v>
      </c>
      <c r="F26">
        <f t="shared" si="0"/>
        <v>3</v>
      </c>
      <c r="G26">
        <f t="shared" si="0"/>
        <v>4</v>
      </c>
      <c r="H26">
        <f t="shared" si="0"/>
        <v>1</v>
      </c>
      <c r="I26">
        <f t="shared" si="0"/>
        <v>2</v>
      </c>
    </row>
    <row r="27" spans="2:22" x14ac:dyDescent="0.25">
      <c r="C27" s="9">
        <v>5</v>
      </c>
      <c r="D27" s="19" t="s">
        <v>52</v>
      </c>
      <c r="E27" s="19" t="s">
        <v>52</v>
      </c>
      <c r="F27">
        <f t="shared" si="0"/>
        <v>2</v>
      </c>
      <c r="G27">
        <f t="shared" si="0"/>
        <v>3</v>
      </c>
      <c r="H27">
        <f t="shared" si="0"/>
        <v>1</v>
      </c>
      <c r="I27">
        <f t="shared" si="0"/>
        <v>4</v>
      </c>
    </row>
    <row r="28" spans="2:22" x14ac:dyDescent="0.25">
      <c r="C28" s="9">
        <v>6</v>
      </c>
      <c r="D28" s="19" t="s">
        <v>53</v>
      </c>
      <c r="E28" s="19" t="s">
        <v>53</v>
      </c>
      <c r="F28">
        <f t="shared" si="0"/>
        <v>3.5</v>
      </c>
      <c r="G28">
        <f t="shared" si="0"/>
        <v>3.5</v>
      </c>
      <c r="H28">
        <f t="shared" si="0"/>
        <v>2</v>
      </c>
      <c r="I28">
        <f t="shared" si="0"/>
        <v>1</v>
      </c>
    </row>
    <row r="29" spans="2:22" x14ac:dyDescent="0.25">
      <c r="C29" s="9">
        <v>7</v>
      </c>
      <c r="D29" s="19" t="s">
        <v>55</v>
      </c>
      <c r="E29" s="19" t="s">
        <v>55</v>
      </c>
      <c r="F29">
        <f t="shared" si="0"/>
        <v>3.5</v>
      </c>
      <c r="G29">
        <f t="shared" si="0"/>
        <v>3.5</v>
      </c>
      <c r="H29">
        <f t="shared" si="0"/>
        <v>1.5</v>
      </c>
      <c r="I29">
        <f t="shared" si="0"/>
        <v>1.5</v>
      </c>
      <c r="N29" s="16"/>
    </row>
    <row r="30" spans="2:22" x14ac:dyDescent="0.25">
      <c r="D30" s="75"/>
      <c r="N30" s="16"/>
    </row>
    <row r="31" spans="2:22" x14ac:dyDescent="0.25">
      <c r="C31">
        <v>8</v>
      </c>
      <c r="D31" s="9" t="s">
        <v>174</v>
      </c>
      <c r="F31" s="44">
        <f>AVERAGE(F23:F29)</f>
        <v>2.9285714285714284</v>
      </c>
      <c r="G31" s="44">
        <f t="shared" ref="G31:I31" si="1">AVERAGE(G23:G29)</f>
        <v>3.2142857142857144</v>
      </c>
      <c r="H31" s="44">
        <f t="shared" si="1"/>
        <v>1.6428571428571428</v>
      </c>
      <c r="I31" s="44">
        <f t="shared" si="1"/>
        <v>2.2142857142857144</v>
      </c>
    </row>
    <row r="32" spans="2:22" x14ac:dyDescent="0.25">
      <c r="D32" t="s">
        <v>20</v>
      </c>
      <c r="E32" s="44"/>
      <c r="F32" s="44"/>
      <c r="G32" s="44"/>
      <c r="H32" s="44"/>
      <c r="I32" s="112"/>
      <c r="J32" s="111"/>
      <c r="K32" s="111"/>
      <c r="L32" s="111"/>
      <c r="M32" s="3"/>
      <c r="N32" s="4"/>
      <c r="O32" s="4"/>
      <c r="P32" s="4"/>
      <c r="Q32" s="4"/>
      <c r="R32" s="4"/>
      <c r="S32" s="4"/>
    </row>
    <row r="33" spans="3:23" x14ac:dyDescent="0.25">
      <c r="F33" s="90" t="s">
        <v>192</v>
      </c>
      <c r="G33" s="90" t="s">
        <v>184</v>
      </c>
      <c r="H33" s="90" t="s">
        <v>191</v>
      </c>
      <c r="I33" s="94" t="s">
        <v>190</v>
      </c>
      <c r="M33" s="21"/>
      <c r="N33" s="21"/>
    </row>
    <row r="34" spans="3:23" x14ac:dyDescent="0.25">
      <c r="C34">
        <v>1</v>
      </c>
      <c r="D34" s="88" t="s">
        <v>76</v>
      </c>
      <c r="E34" s="88" t="s">
        <v>76</v>
      </c>
      <c r="F34">
        <f>_xlfn.RANK.AVG(F14,$F14:$I14,0)</f>
        <v>1.5</v>
      </c>
      <c r="G34">
        <f t="shared" ref="F34:I38" si="2">_xlfn.RANK.AVG(G14,$F14:$I14,0)</f>
        <v>1.5</v>
      </c>
      <c r="H34">
        <f t="shared" si="2"/>
        <v>3.5</v>
      </c>
      <c r="I34">
        <f t="shared" si="2"/>
        <v>3.5</v>
      </c>
      <c r="M34" s="2"/>
    </row>
    <row r="35" spans="3:23" x14ac:dyDescent="0.25">
      <c r="C35">
        <v>2</v>
      </c>
      <c r="D35" s="88" t="s">
        <v>75</v>
      </c>
      <c r="E35" s="88" t="s">
        <v>75</v>
      </c>
      <c r="F35">
        <f t="shared" si="2"/>
        <v>1</v>
      </c>
      <c r="G35">
        <f t="shared" si="2"/>
        <v>2</v>
      </c>
      <c r="H35">
        <f t="shared" si="2"/>
        <v>4</v>
      </c>
      <c r="I35">
        <f t="shared" si="2"/>
        <v>3</v>
      </c>
      <c r="M35" s="2"/>
    </row>
    <row r="36" spans="3:23" x14ac:dyDescent="0.25">
      <c r="C36">
        <v>3</v>
      </c>
      <c r="D36" s="75" t="s">
        <v>169</v>
      </c>
      <c r="E36" s="88" t="s">
        <v>77</v>
      </c>
      <c r="F36">
        <f t="shared" si="2"/>
        <v>1.5</v>
      </c>
      <c r="G36">
        <f t="shared" si="2"/>
        <v>1.5</v>
      </c>
      <c r="H36">
        <f t="shared" si="2"/>
        <v>3</v>
      </c>
      <c r="I36">
        <f t="shared" si="2"/>
        <v>4</v>
      </c>
      <c r="M36" s="2"/>
    </row>
    <row r="37" spans="3:23" x14ac:dyDescent="0.25">
      <c r="C37">
        <v>4</v>
      </c>
      <c r="D37" s="19" t="s">
        <v>170</v>
      </c>
      <c r="E37" s="95" t="s">
        <v>78</v>
      </c>
      <c r="F37">
        <f t="shared" si="2"/>
        <v>1.5</v>
      </c>
      <c r="G37">
        <f t="shared" si="2"/>
        <v>1.5</v>
      </c>
      <c r="H37">
        <f t="shared" si="2"/>
        <v>4</v>
      </c>
      <c r="I37">
        <f t="shared" si="2"/>
        <v>3</v>
      </c>
      <c r="M37" s="13"/>
    </row>
    <row r="38" spans="3:23" x14ac:dyDescent="0.25">
      <c r="C38">
        <v>5</v>
      </c>
      <c r="D38" s="19" t="s">
        <v>171</v>
      </c>
      <c r="E38" s="88" t="s">
        <v>79</v>
      </c>
      <c r="F38">
        <f t="shared" si="2"/>
        <v>1.5</v>
      </c>
      <c r="G38">
        <f t="shared" si="2"/>
        <v>1.5</v>
      </c>
      <c r="H38">
        <f t="shared" si="2"/>
        <v>3</v>
      </c>
      <c r="I38">
        <f t="shared" si="2"/>
        <v>4</v>
      </c>
      <c r="M38" s="2"/>
    </row>
    <row r="39" spans="3:23" x14ac:dyDescent="0.25">
      <c r="D39" s="100"/>
      <c r="M39" s="2"/>
    </row>
    <row r="40" spans="3:23" x14ac:dyDescent="0.25">
      <c r="D40" s="88"/>
      <c r="M40" s="25"/>
      <c r="Q40" s="10"/>
      <c r="R40" s="10"/>
      <c r="S40" s="10"/>
      <c r="T40" s="10"/>
      <c r="U40" s="10"/>
      <c r="V40" s="10"/>
      <c r="W40" s="10"/>
    </row>
    <row r="41" spans="3:23" x14ac:dyDescent="0.25">
      <c r="D41" s="95"/>
      <c r="M41" s="10"/>
      <c r="Q41" s="10"/>
      <c r="R41" s="10"/>
      <c r="S41" s="10"/>
      <c r="T41" s="10"/>
      <c r="U41" s="10"/>
      <c r="V41" s="10"/>
      <c r="W41" s="10"/>
    </row>
    <row r="42" spans="3:23" x14ac:dyDescent="0.25">
      <c r="D42" s="88"/>
      <c r="M42" s="10"/>
      <c r="Q42" s="10"/>
      <c r="R42" s="10"/>
      <c r="S42" s="10"/>
      <c r="T42" s="10"/>
      <c r="U42" s="10"/>
      <c r="V42" s="10"/>
      <c r="W42" s="10"/>
    </row>
    <row r="43" spans="3:23" x14ac:dyDescent="0.25">
      <c r="D43" s="88"/>
      <c r="M43" s="10"/>
      <c r="Q43" s="10"/>
      <c r="R43" s="10"/>
      <c r="S43" s="10"/>
      <c r="T43" s="10"/>
      <c r="U43" s="10"/>
      <c r="V43" s="10"/>
      <c r="W43" s="10"/>
    </row>
    <row r="44" spans="3:23" x14ac:dyDescent="0.25">
      <c r="D44" s="88" t="s">
        <v>24</v>
      </c>
      <c r="E44" s="49">
        <v>7</v>
      </c>
      <c r="M44" s="10"/>
      <c r="Q44" s="10"/>
      <c r="R44" s="10"/>
      <c r="S44" s="10"/>
      <c r="T44" s="10"/>
      <c r="U44" s="10"/>
      <c r="V44" s="10"/>
      <c r="W44" s="10"/>
    </row>
    <row r="45" spans="3:23" x14ac:dyDescent="0.25">
      <c r="D45" s="16" t="s">
        <v>63</v>
      </c>
      <c r="E45" s="49">
        <v>4</v>
      </c>
      <c r="F45" s="44">
        <f>AVERAGE(F34:F38)</f>
        <v>1.4</v>
      </c>
      <c r="G45" s="44">
        <f>AVERAGE(G34:G38)</f>
        <v>1.6</v>
      </c>
      <c r="H45" s="44">
        <f t="shared" ref="H45:I45" si="3">AVERAGE(H34:H38)</f>
        <v>3.5</v>
      </c>
      <c r="I45" s="44">
        <f t="shared" si="3"/>
        <v>3.5</v>
      </c>
      <c r="M45" s="10"/>
      <c r="Q45" s="10"/>
      <c r="R45" s="10"/>
      <c r="S45" s="10"/>
      <c r="T45" s="10"/>
      <c r="U45" s="10"/>
      <c r="V45" s="10"/>
      <c r="W45" s="10"/>
    </row>
    <row r="46" spans="3:23" x14ac:dyDescent="0.25">
      <c r="F46" s="4">
        <f>AVERAGE(F31,F45)</f>
        <v>2.1642857142857141</v>
      </c>
      <c r="G46" s="4">
        <f t="shared" ref="G46:I46" si="4">AVERAGE(G31,G45)</f>
        <v>2.4071428571428575</v>
      </c>
      <c r="H46" s="4">
        <f t="shared" si="4"/>
        <v>2.5714285714285712</v>
      </c>
      <c r="I46" s="4">
        <f t="shared" si="4"/>
        <v>2.8571428571428572</v>
      </c>
      <c r="M46" s="10"/>
      <c r="Q46" s="10"/>
      <c r="R46" s="10"/>
      <c r="S46" s="10"/>
      <c r="T46" s="10"/>
      <c r="U46" s="10"/>
      <c r="V46" s="10"/>
      <c r="W46" s="10"/>
    </row>
    <row r="47" spans="3:23" x14ac:dyDescent="0.25">
      <c r="D47" s="16" t="s">
        <v>80</v>
      </c>
      <c r="M47" s="34"/>
      <c r="Q47" s="10"/>
      <c r="R47" s="10"/>
      <c r="S47" s="10"/>
      <c r="T47" s="10"/>
      <c r="U47" s="10"/>
      <c r="V47" s="10"/>
      <c r="W47" s="10"/>
    </row>
    <row r="48" spans="3:23" x14ac:dyDescent="0.25">
      <c r="D48" s="22"/>
      <c r="E48" s="102"/>
      <c r="F48" s="102" t="s">
        <v>18</v>
      </c>
      <c r="G48" s="102" t="s">
        <v>57</v>
      </c>
      <c r="H48" s="102" t="s">
        <v>65</v>
      </c>
      <c r="I48" s="86" t="s">
        <v>85</v>
      </c>
      <c r="J48" s="27"/>
      <c r="K48" s="27"/>
      <c r="L48" s="113" t="s">
        <v>61</v>
      </c>
      <c r="M48" s="34"/>
      <c r="Q48" s="10"/>
      <c r="R48" s="10"/>
      <c r="S48" s="10"/>
      <c r="T48" s="10"/>
      <c r="U48" s="10"/>
      <c r="V48" s="10"/>
      <c r="W48" s="10"/>
    </row>
    <row r="49" spans="4:23" x14ac:dyDescent="0.25">
      <c r="D49" s="22" t="s">
        <v>60</v>
      </c>
      <c r="E49" s="22"/>
      <c r="F49" s="22">
        <f>COUNT(F4:F10)</f>
        <v>7</v>
      </c>
      <c r="G49" s="22">
        <f>COUNT(G4:G10)</f>
        <v>7</v>
      </c>
      <c r="H49" s="22">
        <f>COUNT(H4:H10)</f>
        <v>7</v>
      </c>
      <c r="I49" s="51">
        <f>COUNT(I4:I10)</f>
        <v>7</v>
      </c>
      <c r="J49" s="1"/>
      <c r="K49" s="1"/>
      <c r="L49" s="114">
        <f>SUM(E49:I49)</f>
        <v>28</v>
      </c>
      <c r="M49" s="34"/>
      <c r="Q49" s="10"/>
      <c r="R49" s="10"/>
      <c r="S49" s="10"/>
      <c r="T49" s="10"/>
      <c r="U49" s="10"/>
      <c r="V49" s="10"/>
      <c r="W49" s="10"/>
    </row>
    <row r="50" spans="4:23" x14ac:dyDescent="0.25">
      <c r="D50" s="22" t="s">
        <v>82</v>
      </c>
      <c r="E50" s="22"/>
      <c r="F50" s="22">
        <f>SUM(F23:F29)</f>
        <v>20.5</v>
      </c>
      <c r="G50" s="22">
        <f t="shared" ref="G50:I50" si="5">SUM(G23:G29)</f>
        <v>22.5</v>
      </c>
      <c r="H50" s="22">
        <f t="shared" si="5"/>
        <v>11.5</v>
      </c>
      <c r="I50" s="22">
        <f t="shared" si="5"/>
        <v>15.5</v>
      </c>
      <c r="J50" s="1"/>
      <c r="K50" s="1"/>
      <c r="L50" s="114">
        <f>SUM(F50:I50)</f>
        <v>70</v>
      </c>
      <c r="M50" s="34"/>
      <c r="Q50" s="10"/>
      <c r="R50" s="10"/>
      <c r="S50" s="10"/>
      <c r="T50" s="10"/>
      <c r="U50" s="10"/>
      <c r="V50" s="10"/>
      <c r="W50" s="10"/>
    </row>
    <row r="51" spans="4:23" x14ac:dyDescent="0.25">
      <c r="D51" s="22" t="s">
        <v>83</v>
      </c>
      <c r="E51" s="45"/>
      <c r="F51" s="23">
        <f>AVERAGE(F23:F29)</f>
        <v>2.9285714285714284</v>
      </c>
      <c r="G51" s="23">
        <f t="shared" ref="G51:I51" si="6">AVERAGE(G23:G29)</f>
        <v>3.2142857142857144</v>
      </c>
      <c r="H51" s="23">
        <f t="shared" si="6"/>
        <v>1.6428571428571428</v>
      </c>
      <c r="I51" s="23">
        <f t="shared" si="6"/>
        <v>2.2142857142857144</v>
      </c>
      <c r="J51" s="116"/>
      <c r="K51" s="116"/>
      <c r="L51" s="115">
        <f>AVERAGE(F51:I51)</f>
        <v>2.5</v>
      </c>
      <c r="M51" s="34"/>
      <c r="Q51" s="10"/>
      <c r="R51" s="10"/>
      <c r="S51" s="10"/>
      <c r="T51" s="10"/>
      <c r="U51" s="10"/>
      <c r="V51" s="10"/>
      <c r="W51" s="10"/>
    </row>
    <row r="52" spans="4:23" x14ac:dyDescent="0.25">
      <c r="D52" s="25" t="s">
        <v>20</v>
      </c>
      <c r="E52" s="4"/>
      <c r="F52" s="4">
        <f t="shared" ref="F52:I52" si="7">F51^2</f>
        <v>8.5765306122448965</v>
      </c>
      <c r="G52" s="4">
        <f t="shared" si="7"/>
        <v>10.331632653061225</v>
      </c>
      <c r="H52" s="4">
        <f t="shared" si="7"/>
        <v>2.6989795918367343</v>
      </c>
      <c r="I52" s="4">
        <f t="shared" si="7"/>
        <v>4.9030612244897966</v>
      </c>
      <c r="J52" s="4"/>
      <c r="K52" s="4"/>
      <c r="L52" s="63">
        <f>SUM(F52:I52)</f>
        <v>26.510204081632654</v>
      </c>
      <c r="M52" s="35"/>
      <c r="Q52" s="10"/>
      <c r="R52" s="10"/>
      <c r="S52" s="10"/>
      <c r="T52" s="10"/>
      <c r="U52" s="10"/>
      <c r="V52" s="10"/>
      <c r="W52" s="10"/>
    </row>
    <row r="53" spans="4:23" x14ac:dyDescent="0.25">
      <c r="M53" s="35"/>
      <c r="N53" s="10"/>
      <c r="O53" s="65"/>
      <c r="P53" s="66" t="s">
        <v>104</v>
      </c>
      <c r="Q53" s="66" t="s">
        <v>105</v>
      </c>
      <c r="R53" s="66" t="s">
        <v>106</v>
      </c>
      <c r="S53" s="66" t="s">
        <v>61</v>
      </c>
      <c r="T53" s="71"/>
      <c r="U53" s="10"/>
      <c r="V53" s="10"/>
      <c r="W53" s="10"/>
    </row>
    <row r="54" spans="4:23" ht="17.25" x14ac:dyDescent="0.25">
      <c r="E54" s="102"/>
      <c r="F54" s="102" t="s">
        <v>18</v>
      </c>
      <c r="G54" s="102" t="s">
        <v>57</v>
      </c>
      <c r="H54" s="102" t="s">
        <v>65</v>
      </c>
      <c r="I54" s="86" t="s">
        <v>85</v>
      </c>
      <c r="J54" s="29"/>
      <c r="K54" s="27"/>
      <c r="M54" s="35"/>
      <c r="N54" s="10"/>
      <c r="O54" s="67" t="s">
        <v>107</v>
      </c>
      <c r="P54" s="65">
        <v>10</v>
      </c>
      <c r="Q54" s="65">
        <v>10</v>
      </c>
      <c r="R54" s="65">
        <v>10</v>
      </c>
      <c r="S54" s="65">
        <v>30</v>
      </c>
      <c r="T54" s="68" t="s">
        <v>108</v>
      </c>
      <c r="U54" s="10"/>
      <c r="V54" s="10"/>
      <c r="W54" s="10"/>
    </row>
    <row r="55" spans="4:23" ht="21.75" customHeight="1" x14ac:dyDescent="0.25">
      <c r="E55" s="4"/>
      <c r="F55" s="4">
        <f>F49*(F51-$L$51)^2</f>
        <v>1.2857142857142847</v>
      </c>
      <c r="G55" s="4">
        <f>G49*(G51-$L$51)^2</f>
        <v>3.571428571428573</v>
      </c>
      <c r="H55" s="4">
        <f>H49*(H51-$L$51)^2</f>
        <v>5.1428571428571441</v>
      </c>
      <c r="I55" s="4">
        <f>I49*(I51-$L$51)^2</f>
        <v>0.57142857142857095</v>
      </c>
      <c r="J55" s="4"/>
      <c r="K55" s="4"/>
      <c r="L55" s="73">
        <f>SUM(E55:J55)</f>
        <v>10.571428571428573</v>
      </c>
      <c r="M55" s="3"/>
      <c r="N55" s="50"/>
      <c r="O55" s="67" t="s">
        <v>58</v>
      </c>
      <c r="P55" s="65">
        <v>26.5</v>
      </c>
      <c r="Q55" s="65">
        <v>21</v>
      </c>
      <c r="R55" s="65">
        <v>12.5</v>
      </c>
      <c r="S55" s="65">
        <v>60</v>
      </c>
      <c r="T55" s="69" t="s">
        <v>109</v>
      </c>
      <c r="U55" s="27"/>
      <c r="V55" s="10"/>
      <c r="W55" s="10"/>
    </row>
    <row r="56" spans="4:23" x14ac:dyDescent="0.25">
      <c r="M56" s="35"/>
      <c r="N56" s="10"/>
      <c r="O56" s="67" t="s">
        <v>59</v>
      </c>
      <c r="P56" s="65">
        <v>2.65</v>
      </c>
      <c r="Q56" s="65">
        <v>2.1</v>
      </c>
      <c r="R56" s="65">
        <v>1.25</v>
      </c>
      <c r="S56" s="65">
        <v>2</v>
      </c>
      <c r="T56" s="70" t="s">
        <v>110</v>
      </c>
      <c r="U56" s="10"/>
      <c r="V56" s="10"/>
      <c r="W56" s="10"/>
    </row>
    <row r="57" spans="4:23" x14ac:dyDescent="0.25">
      <c r="D57">
        <v>1</v>
      </c>
      <c r="F57">
        <f>(F23-$L$51)^2</f>
        <v>1</v>
      </c>
      <c r="G57">
        <f t="shared" ref="G57:I57" si="8">(G23-$L$51)^2</f>
        <v>1</v>
      </c>
      <c r="H57">
        <f t="shared" si="8"/>
        <v>2.25</v>
      </c>
      <c r="I57">
        <f t="shared" si="8"/>
        <v>0.25</v>
      </c>
      <c r="L57">
        <f t="shared" ref="L57:L63" si="9">SUM(E57:J57)</f>
        <v>4.5</v>
      </c>
      <c r="M57" s="35"/>
      <c r="N57" s="10"/>
      <c r="O57" s="10"/>
      <c r="P57" s="10" t="s">
        <v>21</v>
      </c>
      <c r="Q57" s="72">
        <v>3</v>
      </c>
      <c r="R57" s="10"/>
      <c r="S57" s="10"/>
      <c r="T57" s="10"/>
      <c r="U57" s="10"/>
      <c r="V57" s="10"/>
      <c r="W57" s="10"/>
    </row>
    <row r="58" spans="4:23" x14ac:dyDescent="0.25">
      <c r="D58">
        <v>2</v>
      </c>
      <c r="F58">
        <f t="shared" ref="F58:I63" si="10">(F24-$L$51)^2</f>
        <v>0</v>
      </c>
      <c r="G58">
        <f t="shared" si="10"/>
        <v>0</v>
      </c>
      <c r="H58">
        <f t="shared" si="10"/>
        <v>2.25</v>
      </c>
      <c r="I58">
        <f t="shared" si="10"/>
        <v>2.25</v>
      </c>
      <c r="L58">
        <f t="shared" si="9"/>
        <v>4.5</v>
      </c>
      <c r="M58" s="35"/>
      <c r="N58" s="10"/>
      <c r="O58" s="10"/>
      <c r="P58" s="10" t="s">
        <v>24</v>
      </c>
      <c r="Q58" s="72">
        <v>10</v>
      </c>
      <c r="R58" s="10"/>
      <c r="S58" s="10"/>
      <c r="T58" s="10"/>
      <c r="U58" s="10"/>
      <c r="V58" s="10"/>
      <c r="W58" s="10"/>
    </row>
    <row r="59" spans="4:23" x14ac:dyDescent="0.25">
      <c r="D59">
        <v>3</v>
      </c>
      <c r="F59">
        <f t="shared" si="10"/>
        <v>0</v>
      </c>
      <c r="G59">
        <f t="shared" si="10"/>
        <v>0</v>
      </c>
      <c r="H59">
        <f t="shared" si="10"/>
        <v>2.25</v>
      </c>
      <c r="I59">
        <f t="shared" si="10"/>
        <v>2.25</v>
      </c>
      <c r="L59">
        <f t="shared" si="9"/>
        <v>4.5</v>
      </c>
      <c r="M59" s="35"/>
      <c r="N59" s="10"/>
      <c r="O59" s="10"/>
      <c r="P59" s="4"/>
      <c r="Q59" s="4"/>
      <c r="R59" s="4"/>
      <c r="S59" s="4"/>
      <c r="T59" s="4"/>
      <c r="U59" s="4"/>
      <c r="V59" s="10"/>
      <c r="W59" s="10"/>
    </row>
    <row r="60" spans="4:23" x14ac:dyDescent="0.25">
      <c r="D60">
        <v>4</v>
      </c>
      <c r="F60">
        <f t="shared" si="10"/>
        <v>0.25</v>
      </c>
      <c r="G60">
        <f t="shared" si="10"/>
        <v>2.25</v>
      </c>
      <c r="H60">
        <f t="shared" si="10"/>
        <v>2.25</v>
      </c>
      <c r="I60">
        <f t="shared" si="10"/>
        <v>0.25</v>
      </c>
      <c r="L60">
        <f t="shared" si="9"/>
        <v>5</v>
      </c>
      <c r="M60" s="35"/>
      <c r="P60" s="3">
        <f>P54*(P56-$S$56)^2</f>
        <v>4.2249999999999988</v>
      </c>
      <c r="Q60" s="3">
        <f t="shared" ref="Q60:R60" si="11">Q54*(Q56-$S$56)^2</f>
        <v>0.10000000000000017</v>
      </c>
      <c r="R60" s="3">
        <f t="shared" si="11"/>
        <v>5.625</v>
      </c>
      <c r="S60" s="3"/>
      <c r="T60" s="4"/>
      <c r="U60" s="4"/>
      <c r="V60" s="52">
        <f>SUM(P60:U60)</f>
        <v>9.9499999999999993</v>
      </c>
    </row>
    <row r="61" spans="4:23" x14ac:dyDescent="0.25">
      <c r="D61">
        <v>5</v>
      </c>
      <c r="F61">
        <f t="shared" si="10"/>
        <v>0.25</v>
      </c>
      <c r="G61">
        <f t="shared" si="10"/>
        <v>0.25</v>
      </c>
      <c r="H61">
        <f t="shared" si="10"/>
        <v>2.25</v>
      </c>
      <c r="I61">
        <f t="shared" si="10"/>
        <v>2.25</v>
      </c>
      <c r="L61">
        <f t="shared" si="9"/>
        <v>5</v>
      </c>
      <c r="M61" s="35"/>
    </row>
    <row r="62" spans="4:23" x14ac:dyDescent="0.25">
      <c r="D62">
        <v>6</v>
      </c>
      <c r="F62">
        <f t="shared" si="10"/>
        <v>1</v>
      </c>
      <c r="G62">
        <f t="shared" si="10"/>
        <v>1</v>
      </c>
      <c r="H62">
        <f t="shared" si="10"/>
        <v>0.25</v>
      </c>
      <c r="I62">
        <f t="shared" si="10"/>
        <v>2.25</v>
      </c>
      <c r="L62">
        <f t="shared" si="9"/>
        <v>4.5</v>
      </c>
      <c r="M62" s="35"/>
      <c r="V62">
        <f>V60/((Q57*(Q57+1))/12)</f>
        <v>9.9499999999999993</v>
      </c>
    </row>
    <row r="63" spans="4:23" x14ac:dyDescent="0.25">
      <c r="D63">
        <v>7</v>
      </c>
      <c r="F63">
        <f t="shared" si="10"/>
        <v>1</v>
      </c>
      <c r="G63">
        <f t="shared" si="10"/>
        <v>1</v>
      </c>
      <c r="H63">
        <f t="shared" si="10"/>
        <v>1</v>
      </c>
      <c r="I63">
        <f t="shared" si="10"/>
        <v>1</v>
      </c>
      <c r="L63">
        <f t="shared" si="9"/>
        <v>4</v>
      </c>
      <c r="M63" s="35"/>
    </row>
    <row r="64" spans="4:23" x14ac:dyDescent="0.25">
      <c r="M64" s="35"/>
      <c r="N64">
        <f>SUMSQ(E57:J64)</f>
        <v>59</v>
      </c>
      <c r="P64" s="102" t="s">
        <v>56</v>
      </c>
      <c r="Q64" s="29" t="s">
        <v>85</v>
      </c>
      <c r="R64" s="29" t="s">
        <v>160</v>
      </c>
    </row>
    <row r="65" spans="4:18" x14ac:dyDescent="0.25">
      <c r="F65" s="4"/>
      <c r="G65" s="4"/>
      <c r="H65" s="4"/>
      <c r="I65" s="4"/>
      <c r="L65" s="48">
        <f>SUM(L57:L64)</f>
        <v>32</v>
      </c>
      <c r="M65" s="35"/>
      <c r="O65" s="9" t="s">
        <v>48</v>
      </c>
      <c r="P65" s="41">
        <v>90.54</v>
      </c>
      <c r="Q65" s="38">
        <v>91.21</v>
      </c>
      <c r="R65" s="38">
        <v>91.21</v>
      </c>
    </row>
    <row r="66" spans="4:18" x14ac:dyDescent="0.25">
      <c r="L66" s="48"/>
      <c r="M66" s="35"/>
      <c r="O66" s="9" t="s">
        <v>49</v>
      </c>
      <c r="P66" s="41">
        <v>87.21</v>
      </c>
      <c r="Q66" s="38">
        <v>89.41</v>
      </c>
      <c r="R66" s="38">
        <v>89.41</v>
      </c>
    </row>
    <row r="67" spans="4:18" x14ac:dyDescent="0.25">
      <c r="J67" t="s">
        <v>64</v>
      </c>
      <c r="L67" s="117">
        <f>L65/(K6*(K7-1))</f>
        <v>1.5238095238095237</v>
      </c>
      <c r="M67" s="35"/>
      <c r="O67" s="9" t="s">
        <v>50</v>
      </c>
      <c r="P67" s="41">
        <v>82.81</v>
      </c>
      <c r="Q67" s="38">
        <v>81.650000000000006</v>
      </c>
      <c r="R67" s="20">
        <v>82.23</v>
      </c>
    </row>
    <row r="68" spans="4:18" x14ac:dyDescent="0.25">
      <c r="J68" t="s">
        <v>181</v>
      </c>
      <c r="L68" s="48">
        <f>L55/L67</f>
        <v>6.9375000000000018</v>
      </c>
      <c r="M68" s="35"/>
      <c r="O68" s="9" t="s">
        <v>51</v>
      </c>
      <c r="P68" s="41">
        <v>73.52</v>
      </c>
      <c r="Q68" s="38">
        <v>72.709999999999994</v>
      </c>
      <c r="R68" s="36">
        <v>73.05</v>
      </c>
    </row>
    <row r="69" spans="4:18" x14ac:dyDescent="0.25">
      <c r="J69" t="s">
        <v>88</v>
      </c>
      <c r="L69">
        <f>((K6-1)*L68)/(K6*(K7-1)-L68)</f>
        <v>2.9600000000000013</v>
      </c>
      <c r="O69" s="19" t="s">
        <v>52</v>
      </c>
      <c r="P69" s="37">
        <v>88.09</v>
      </c>
      <c r="Q69" s="38">
        <v>93.81</v>
      </c>
      <c r="R69" s="20">
        <v>93.81</v>
      </c>
    </row>
    <row r="70" spans="4:18" x14ac:dyDescent="0.25">
      <c r="J70" t="s">
        <v>37</v>
      </c>
      <c r="L70" s="55">
        <f>_xlfn.CHISQ.DIST.RT(L68,3)</f>
        <v>7.3916766020778998E-2</v>
      </c>
      <c r="O70" s="9" t="s">
        <v>53</v>
      </c>
      <c r="P70" s="41">
        <v>88.9</v>
      </c>
      <c r="Q70" s="38">
        <v>88.9</v>
      </c>
      <c r="R70" s="20">
        <v>88.72</v>
      </c>
    </row>
    <row r="71" spans="4:18" x14ac:dyDescent="0.25">
      <c r="D71" s="16" t="s">
        <v>62</v>
      </c>
      <c r="E71" s="49">
        <v>5</v>
      </c>
      <c r="O71" s="9" t="s">
        <v>54</v>
      </c>
      <c r="P71" s="42">
        <v>100</v>
      </c>
      <c r="Q71" s="43">
        <v>100</v>
      </c>
      <c r="R71" s="20"/>
    </row>
    <row r="72" spans="4:18" ht="15.75" x14ac:dyDescent="0.25">
      <c r="D72" s="16" t="s">
        <v>63</v>
      </c>
      <c r="E72" s="49">
        <v>4</v>
      </c>
      <c r="J72" s="56" t="s">
        <v>90</v>
      </c>
      <c r="K72" s="56"/>
      <c r="L72" s="55">
        <f>_xlfn.CHISQ.DIST.RT(L69,3)</f>
        <v>0.39783359465679591</v>
      </c>
      <c r="M72" s="28" t="s">
        <v>91</v>
      </c>
      <c r="N72" s="28">
        <f>K7-1</f>
        <v>3</v>
      </c>
      <c r="O72" s="9" t="s">
        <v>55</v>
      </c>
      <c r="P72" s="41">
        <v>94.59</v>
      </c>
      <c r="Q72" s="38">
        <v>92.11</v>
      </c>
      <c r="R72" s="20"/>
    </row>
    <row r="73" spans="4:18" x14ac:dyDescent="0.25">
      <c r="D73" s="16"/>
      <c r="E73" s="49"/>
      <c r="M73" s="28" t="s">
        <v>92</v>
      </c>
      <c r="N73" s="28">
        <f>(K6-1)*(K7-1)</f>
        <v>18</v>
      </c>
      <c r="P73" s="30">
        <f t="shared" ref="P73:R73" si="12">AVERAGE(P65:P72)</f>
        <v>88.207499999999996</v>
      </c>
      <c r="Q73" s="37">
        <f t="shared" si="12"/>
        <v>88.724999999999994</v>
      </c>
      <c r="R73" s="37">
        <f t="shared" si="12"/>
        <v>86.405000000000015</v>
      </c>
    </row>
    <row r="74" spans="4:18" x14ac:dyDescent="0.25">
      <c r="D74" s="16" t="s">
        <v>81</v>
      </c>
      <c r="M74" s="35"/>
      <c r="P74">
        <f>_xlfn.RANK.AVG(P65,$P65:$R65,0)</f>
        <v>3</v>
      </c>
      <c r="Q74">
        <f t="shared" ref="Q74:R74" si="13">_xlfn.RANK.AVG(Q65,$P65:$R65,0)</f>
        <v>1.5</v>
      </c>
      <c r="R74">
        <f t="shared" si="13"/>
        <v>1.5</v>
      </c>
    </row>
    <row r="75" spans="4:18" x14ac:dyDescent="0.25">
      <c r="D75" s="22"/>
      <c r="E75" s="102"/>
      <c r="F75" s="102" t="s">
        <v>18</v>
      </c>
      <c r="G75" s="102" t="s">
        <v>57</v>
      </c>
      <c r="H75" s="102" t="s">
        <v>65</v>
      </c>
      <c r="I75" s="86" t="s">
        <v>85</v>
      </c>
      <c r="J75" s="29"/>
      <c r="K75" s="29"/>
      <c r="L75" s="24" t="s">
        <v>61</v>
      </c>
      <c r="N75">
        <f>_xlfn.F.DIST(L72,N72,N73,TRUE)</f>
        <v>0.24382929735167597</v>
      </c>
      <c r="P75">
        <f t="shared" ref="P75:R81" si="14">_xlfn.RANK.AVG(P66,$P66:$R66,0)</f>
        <v>3</v>
      </c>
      <c r="Q75">
        <f t="shared" si="14"/>
        <v>1.5</v>
      </c>
      <c r="R75">
        <f t="shared" si="14"/>
        <v>1.5</v>
      </c>
    </row>
    <row r="76" spans="4:18" x14ac:dyDescent="0.25">
      <c r="D76" s="22" t="s">
        <v>60</v>
      </c>
      <c r="E76" s="22"/>
      <c r="F76" s="22">
        <f>COUNT(F14:F18)</f>
        <v>5</v>
      </c>
      <c r="G76" s="22">
        <f>COUNT(G14:G18)</f>
        <v>5</v>
      </c>
      <c r="H76" s="22">
        <f>COUNT(H14:H18)</f>
        <v>5</v>
      </c>
      <c r="I76" s="22">
        <f>COUNT(I14:I18)</f>
        <v>5</v>
      </c>
      <c r="J76" s="22"/>
      <c r="K76" s="22"/>
      <c r="L76" s="22">
        <f>SUM(E76:J76)</f>
        <v>20</v>
      </c>
      <c r="P76">
        <f t="shared" si="14"/>
        <v>1</v>
      </c>
      <c r="Q76">
        <f t="shared" si="14"/>
        <v>3</v>
      </c>
      <c r="R76">
        <f t="shared" si="14"/>
        <v>2</v>
      </c>
    </row>
    <row r="77" spans="4:18" x14ac:dyDescent="0.25">
      <c r="D77" s="22" t="s">
        <v>82</v>
      </c>
      <c r="E77" s="45"/>
      <c r="F77" s="45">
        <f>SUM(F34:F42)</f>
        <v>7</v>
      </c>
      <c r="G77" s="45">
        <f t="shared" ref="G77:I77" si="15">SUM(G34:G42)</f>
        <v>8</v>
      </c>
      <c r="H77" s="45">
        <f t="shared" si="15"/>
        <v>17.5</v>
      </c>
      <c r="I77" s="45">
        <f t="shared" si="15"/>
        <v>17.5</v>
      </c>
      <c r="J77" s="45"/>
      <c r="K77" s="45"/>
      <c r="L77" s="22">
        <f>SUM(E77:J77)</f>
        <v>50</v>
      </c>
      <c r="O77" s="8"/>
      <c r="P77">
        <f t="shared" si="14"/>
        <v>1</v>
      </c>
      <c r="Q77">
        <f t="shared" si="14"/>
        <v>3</v>
      </c>
      <c r="R77">
        <f t="shared" si="14"/>
        <v>2</v>
      </c>
    </row>
    <row r="78" spans="4:18" x14ac:dyDescent="0.25">
      <c r="D78" s="22" t="s">
        <v>83</v>
      </c>
      <c r="E78" s="46"/>
      <c r="F78" s="46">
        <f>AVERAGE(F34:F42)</f>
        <v>1.4</v>
      </c>
      <c r="G78" s="46">
        <f t="shared" ref="G78:I78" si="16">AVERAGE(G34:G42)</f>
        <v>1.6</v>
      </c>
      <c r="H78" s="46">
        <f t="shared" si="16"/>
        <v>3.5</v>
      </c>
      <c r="I78" s="46">
        <f t="shared" si="16"/>
        <v>3.5</v>
      </c>
      <c r="J78" s="46"/>
      <c r="K78" s="46"/>
      <c r="L78" s="46">
        <f>AVERAGE(E78:J78)</f>
        <v>2.5</v>
      </c>
      <c r="P78">
        <f t="shared" si="14"/>
        <v>3</v>
      </c>
      <c r="Q78">
        <f t="shared" si="14"/>
        <v>1.5</v>
      </c>
      <c r="R78">
        <f t="shared" si="14"/>
        <v>1.5</v>
      </c>
    </row>
    <row r="79" spans="4:18" x14ac:dyDescent="0.25">
      <c r="P79">
        <f t="shared" si="14"/>
        <v>1.5</v>
      </c>
      <c r="Q79">
        <f t="shared" si="14"/>
        <v>1.5</v>
      </c>
      <c r="R79">
        <f t="shared" si="14"/>
        <v>3</v>
      </c>
    </row>
    <row r="80" spans="4:18" x14ac:dyDescent="0.25">
      <c r="P80">
        <f t="shared" si="14"/>
        <v>1.5</v>
      </c>
      <c r="Q80">
        <f t="shared" si="14"/>
        <v>1.5</v>
      </c>
      <c r="R80" t="e">
        <f t="shared" si="14"/>
        <v>#N/A</v>
      </c>
    </row>
    <row r="81" spans="4:25" x14ac:dyDescent="0.25">
      <c r="P81">
        <f t="shared" si="14"/>
        <v>1</v>
      </c>
      <c r="Q81">
        <f t="shared" si="14"/>
        <v>2</v>
      </c>
      <c r="R81" t="e">
        <f t="shared" si="14"/>
        <v>#N/A</v>
      </c>
    </row>
    <row r="82" spans="4:25" x14ac:dyDescent="0.25">
      <c r="E82" s="102"/>
      <c r="F82" s="102" t="s">
        <v>18</v>
      </c>
      <c r="G82" s="102" t="s">
        <v>57</v>
      </c>
      <c r="H82" s="102" t="s">
        <v>65</v>
      </c>
      <c r="I82" s="86" t="s">
        <v>85</v>
      </c>
      <c r="J82" s="29"/>
      <c r="K82" s="27"/>
      <c r="P82" s="30">
        <f t="shared" ref="P82:R82" si="17">AVERAGE(P74:P81)</f>
        <v>1.875</v>
      </c>
      <c r="Q82" s="30">
        <f t="shared" si="17"/>
        <v>1.9375</v>
      </c>
      <c r="R82" s="30" t="e">
        <f t="shared" si="17"/>
        <v>#N/A</v>
      </c>
    </row>
    <row r="83" spans="4:25" x14ac:dyDescent="0.25">
      <c r="E83" s="4"/>
      <c r="F83" s="4">
        <f>F76*(F78-$L$78)^2</f>
        <v>6.0500000000000007</v>
      </c>
      <c r="G83" s="4">
        <f>G76*(G78-$L$78)^2</f>
        <v>4.0499999999999989</v>
      </c>
      <c r="H83" s="4">
        <f>H76*(H78-$L$78)^2</f>
        <v>5</v>
      </c>
      <c r="I83" s="4">
        <f>I76*(I78-$L$78)^2</f>
        <v>5</v>
      </c>
      <c r="J83" s="4"/>
      <c r="K83" s="4"/>
      <c r="L83" s="47">
        <f>SUM(E83:J83)</f>
        <v>20.100000000000001</v>
      </c>
      <c r="M83" s="3">
        <f>L83/((E72*(E72+1))/12)</f>
        <v>12.06</v>
      </c>
    </row>
    <row r="86" spans="4:25" x14ac:dyDescent="0.25">
      <c r="D86">
        <v>1</v>
      </c>
      <c r="F86">
        <f t="shared" ref="F86:I94" si="18">(F34-$L$78)^2</f>
        <v>1</v>
      </c>
      <c r="G86">
        <f t="shared" si="18"/>
        <v>1</v>
      </c>
      <c r="H86">
        <f t="shared" si="18"/>
        <v>1</v>
      </c>
      <c r="I86">
        <f t="shared" si="18"/>
        <v>1</v>
      </c>
      <c r="L86">
        <f>SUM(E86:J86)</f>
        <v>4</v>
      </c>
    </row>
    <row r="87" spans="4:25" x14ac:dyDescent="0.25">
      <c r="D87">
        <v>2</v>
      </c>
      <c r="F87">
        <f t="shared" si="18"/>
        <v>2.25</v>
      </c>
      <c r="G87">
        <f t="shared" si="18"/>
        <v>0.25</v>
      </c>
      <c r="H87">
        <f t="shared" si="18"/>
        <v>2.25</v>
      </c>
      <c r="I87">
        <f t="shared" si="18"/>
        <v>0.25</v>
      </c>
      <c r="L87">
        <f>SUM(E87:J87)</f>
        <v>5</v>
      </c>
      <c r="P87">
        <v>4.5</v>
      </c>
      <c r="Q87">
        <v>6</v>
      </c>
      <c r="R87">
        <v>4.5</v>
      </c>
      <c r="S87">
        <v>3</v>
      </c>
      <c r="T87">
        <v>2</v>
      </c>
      <c r="U87">
        <v>1</v>
      </c>
    </row>
    <row r="88" spans="4:25" x14ac:dyDescent="0.25">
      <c r="D88">
        <v>3</v>
      </c>
      <c r="F88">
        <f t="shared" si="18"/>
        <v>1</v>
      </c>
      <c r="G88">
        <f t="shared" si="18"/>
        <v>1</v>
      </c>
      <c r="H88">
        <f t="shared" si="18"/>
        <v>0.25</v>
      </c>
      <c r="I88">
        <f t="shared" si="18"/>
        <v>2.25</v>
      </c>
      <c r="L88">
        <f>SUM(E88:J88)</f>
        <v>4.5</v>
      </c>
      <c r="P88">
        <v>4</v>
      </c>
      <c r="Q88">
        <v>6</v>
      </c>
      <c r="R88">
        <v>5</v>
      </c>
      <c r="S88">
        <v>3</v>
      </c>
      <c r="T88">
        <v>2</v>
      </c>
      <c r="U88">
        <v>1</v>
      </c>
    </row>
    <row r="89" spans="4:25" x14ac:dyDescent="0.25">
      <c r="D89">
        <v>4</v>
      </c>
      <c r="F89">
        <f t="shared" si="18"/>
        <v>1</v>
      </c>
      <c r="G89">
        <f t="shared" si="18"/>
        <v>1</v>
      </c>
      <c r="H89">
        <f t="shared" si="18"/>
        <v>2.25</v>
      </c>
      <c r="I89">
        <f t="shared" si="18"/>
        <v>0.25</v>
      </c>
      <c r="L89">
        <f>SUM(E89:J89)</f>
        <v>4.5</v>
      </c>
      <c r="P89">
        <v>4</v>
      </c>
      <c r="Q89">
        <v>6</v>
      </c>
      <c r="R89">
        <v>5</v>
      </c>
      <c r="S89">
        <v>2</v>
      </c>
      <c r="T89">
        <v>1</v>
      </c>
      <c r="U89">
        <v>3</v>
      </c>
    </row>
    <row r="90" spans="4:25" x14ac:dyDescent="0.25">
      <c r="D90">
        <v>5</v>
      </c>
      <c r="F90">
        <f t="shared" si="18"/>
        <v>1</v>
      </c>
      <c r="G90">
        <f t="shared" si="18"/>
        <v>1</v>
      </c>
      <c r="H90">
        <f t="shared" si="18"/>
        <v>0.25</v>
      </c>
      <c r="I90">
        <f t="shared" si="18"/>
        <v>2.25</v>
      </c>
      <c r="L90">
        <f>SUM(E90:J90)</f>
        <v>4.5</v>
      </c>
      <c r="P90">
        <v>1</v>
      </c>
      <c r="Q90">
        <v>5.5</v>
      </c>
      <c r="R90">
        <v>3</v>
      </c>
      <c r="S90">
        <v>2</v>
      </c>
      <c r="T90">
        <v>4</v>
      </c>
      <c r="U90">
        <v>5.5</v>
      </c>
    </row>
    <row r="91" spans="4:25" x14ac:dyDescent="0.25">
      <c r="D91">
        <v>6</v>
      </c>
      <c r="F91">
        <f t="shared" si="18"/>
        <v>6.25</v>
      </c>
      <c r="G91">
        <f t="shared" si="18"/>
        <v>6.25</v>
      </c>
      <c r="H91">
        <f t="shared" si="18"/>
        <v>6.25</v>
      </c>
      <c r="I91">
        <f t="shared" si="18"/>
        <v>6.25</v>
      </c>
      <c r="L91">
        <f t="shared" ref="L91:L94" si="19">SUM(E91:J91)</f>
        <v>25</v>
      </c>
    </row>
    <row r="92" spans="4:25" x14ac:dyDescent="0.25">
      <c r="D92">
        <v>7</v>
      </c>
      <c r="F92">
        <f t="shared" si="18"/>
        <v>6.25</v>
      </c>
      <c r="G92">
        <f t="shared" si="18"/>
        <v>6.25</v>
      </c>
      <c r="H92">
        <f t="shared" si="18"/>
        <v>6.25</v>
      </c>
      <c r="I92">
        <f t="shared" si="18"/>
        <v>6.25</v>
      </c>
      <c r="L92">
        <f t="shared" si="19"/>
        <v>25</v>
      </c>
    </row>
    <row r="93" spans="4:25" x14ac:dyDescent="0.25">
      <c r="D93">
        <v>8</v>
      </c>
      <c r="F93">
        <f t="shared" si="18"/>
        <v>6.25</v>
      </c>
      <c r="G93">
        <f t="shared" si="18"/>
        <v>6.25</v>
      </c>
      <c r="H93">
        <f t="shared" si="18"/>
        <v>6.25</v>
      </c>
      <c r="I93">
        <f t="shared" si="18"/>
        <v>6.25</v>
      </c>
      <c r="L93">
        <f t="shared" si="19"/>
        <v>25</v>
      </c>
    </row>
    <row r="94" spans="4:25" x14ac:dyDescent="0.25">
      <c r="D94">
        <v>9</v>
      </c>
      <c r="F94">
        <f t="shared" si="18"/>
        <v>6.25</v>
      </c>
      <c r="G94">
        <f t="shared" si="18"/>
        <v>6.25</v>
      </c>
      <c r="H94">
        <f t="shared" si="18"/>
        <v>6.25</v>
      </c>
      <c r="I94">
        <f t="shared" si="18"/>
        <v>6.25</v>
      </c>
      <c r="L94">
        <f t="shared" si="19"/>
        <v>25</v>
      </c>
      <c r="P94">
        <v>2.5</v>
      </c>
      <c r="Q94">
        <v>5</v>
      </c>
      <c r="R94">
        <v>2.5</v>
      </c>
      <c r="S94">
        <v>1</v>
      </c>
      <c r="T94">
        <v>6</v>
      </c>
      <c r="U94">
        <v>4</v>
      </c>
    </row>
    <row r="95" spans="4:25" x14ac:dyDescent="0.25">
      <c r="L95" s="48">
        <f>SUM(L86:L94)</f>
        <v>122.5</v>
      </c>
      <c r="P95">
        <v>4</v>
      </c>
      <c r="Q95">
        <v>5</v>
      </c>
      <c r="R95">
        <v>6</v>
      </c>
      <c r="S95">
        <v>1</v>
      </c>
      <c r="T95">
        <v>2.5</v>
      </c>
      <c r="U95">
        <v>2.5</v>
      </c>
    </row>
    <row r="96" spans="4:25" x14ac:dyDescent="0.25">
      <c r="M96" s="28"/>
      <c r="N96" s="8"/>
      <c r="O96" s="8"/>
      <c r="P96" s="28">
        <v>3.5</v>
      </c>
      <c r="Q96" s="28">
        <v>3.5</v>
      </c>
      <c r="R96" s="28">
        <v>3.5</v>
      </c>
      <c r="S96" s="28">
        <v>3.5</v>
      </c>
      <c r="T96" s="28">
        <v>3.5</v>
      </c>
      <c r="U96" s="28">
        <v>3.5</v>
      </c>
      <c r="V96" s="28"/>
      <c r="W96" s="5"/>
      <c r="X96" s="5"/>
      <c r="Y96" s="5"/>
    </row>
    <row r="97" spans="10:25" x14ac:dyDescent="0.25">
      <c r="L97">
        <f>L95/(K17*(K18-1))</f>
        <v>8.1666666666666661</v>
      </c>
      <c r="M97" s="28" t="s">
        <v>93</v>
      </c>
      <c r="N97" s="8">
        <v>0.05</v>
      </c>
      <c r="O97" s="8">
        <v>0.01</v>
      </c>
      <c r="P97" s="28">
        <v>4.5</v>
      </c>
      <c r="Q97" s="28">
        <v>6</v>
      </c>
      <c r="R97" s="28">
        <v>4.5</v>
      </c>
      <c r="S97" s="28">
        <v>2</v>
      </c>
      <c r="T97" s="28">
        <v>1</v>
      </c>
      <c r="U97" s="28">
        <v>3</v>
      </c>
      <c r="V97" s="28"/>
      <c r="Y97" s="5"/>
    </row>
    <row r="98" spans="10:25" x14ac:dyDescent="0.25">
      <c r="J98" t="s">
        <v>89</v>
      </c>
      <c r="L98" s="55">
        <f>L83/L97</f>
        <v>2.4612244897959186</v>
      </c>
      <c r="M98" s="28" t="s">
        <v>94</v>
      </c>
      <c r="N98" s="8">
        <f>_xlfn.CHISQ.INV.RT(N97,3)</f>
        <v>7.8147279032511792</v>
      </c>
      <c r="O98" s="8"/>
      <c r="P98" s="28"/>
      <c r="Q98" s="28"/>
      <c r="R98" s="28"/>
      <c r="S98" s="28"/>
      <c r="T98" s="28"/>
      <c r="U98" s="28"/>
      <c r="V98" s="28"/>
      <c r="Y98" s="5"/>
    </row>
    <row r="99" spans="10:25" x14ac:dyDescent="0.25">
      <c r="J99" t="s">
        <v>88</v>
      </c>
      <c r="L99">
        <f>((E71-1)*L98)/((E71*(E72-1))-L98)</f>
        <v>0.78515625000000011</v>
      </c>
      <c r="M99" s="28" t="s">
        <v>95</v>
      </c>
      <c r="N99" s="7">
        <f>_xlfn.CHISQ.INV.RT(O97,3)</f>
        <v>11.344866730144371</v>
      </c>
      <c r="O99" s="28"/>
      <c r="P99" s="28"/>
      <c r="Q99" s="28"/>
      <c r="R99" s="28"/>
      <c r="S99" s="28"/>
      <c r="T99" s="28"/>
      <c r="U99" s="28"/>
      <c r="V99" s="28"/>
      <c r="Y99" s="5"/>
    </row>
    <row r="100" spans="10:25" x14ac:dyDescent="0.25">
      <c r="J100" t="s">
        <v>37</v>
      </c>
      <c r="L100" s="55">
        <f>_xlfn.CHISQ.DIST.RT(L98,3)</f>
        <v>0.48233946051345755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Y100" s="5"/>
    </row>
    <row r="101" spans="10:25" x14ac:dyDescent="0.25">
      <c r="M101" s="28"/>
      <c r="N101" s="28"/>
      <c r="O101" s="28"/>
      <c r="P101">
        <v>4.5</v>
      </c>
      <c r="Q101">
        <v>4</v>
      </c>
      <c r="R101">
        <v>4</v>
      </c>
      <c r="S101">
        <v>1</v>
      </c>
      <c r="T101">
        <v>2.5</v>
      </c>
      <c r="U101">
        <v>4</v>
      </c>
      <c r="V101" s="28">
        <v>3.5</v>
      </c>
      <c r="W101" s="28">
        <v>4.5</v>
      </c>
      <c r="Y101" s="5"/>
    </row>
    <row r="102" spans="10:25" ht="15.75" x14ac:dyDescent="0.25">
      <c r="J102" s="56" t="s">
        <v>90</v>
      </c>
      <c r="K102" s="56"/>
      <c r="L102" s="55">
        <f>_xlfn.CHISQ.DIST.RT(L99,3)</f>
        <v>0.85301406843842509</v>
      </c>
      <c r="M102" s="28" t="s">
        <v>91</v>
      </c>
      <c r="N102" s="28">
        <f>E72-1</f>
        <v>3</v>
      </c>
      <c r="O102" s="28"/>
      <c r="P102">
        <v>6</v>
      </c>
      <c r="Q102">
        <v>6</v>
      </c>
      <c r="R102">
        <v>6</v>
      </c>
      <c r="S102">
        <v>5.5</v>
      </c>
      <c r="T102">
        <v>5</v>
      </c>
      <c r="U102">
        <v>5</v>
      </c>
      <c r="V102" s="28">
        <v>3.5</v>
      </c>
      <c r="W102" s="28">
        <v>6</v>
      </c>
      <c r="Y102" s="5"/>
    </row>
    <row r="103" spans="10:25" x14ac:dyDescent="0.25">
      <c r="M103" s="28" t="s">
        <v>92</v>
      </c>
      <c r="N103" s="28">
        <f>(E71-1)*(E72-1)</f>
        <v>12</v>
      </c>
      <c r="O103" s="28"/>
      <c r="P103">
        <v>4.5</v>
      </c>
      <c r="Q103">
        <v>5</v>
      </c>
      <c r="R103">
        <v>5</v>
      </c>
      <c r="S103">
        <v>3</v>
      </c>
      <c r="T103">
        <v>2.5</v>
      </c>
      <c r="U103">
        <v>6</v>
      </c>
      <c r="V103" s="28">
        <v>3.5</v>
      </c>
      <c r="W103" s="28">
        <v>4.5</v>
      </c>
      <c r="Y103" s="5"/>
    </row>
    <row r="104" spans="10:25" x14ac:dyDescent="0.25">
      <c r="L104" s="5"/>
      <c r="M104" s="5"/>
      <c r="N104" s="5"/>
      <c r="O104" s="5"/>
      <c r="P104">
        <v>3</v>
      </c>
      <c r="Q104">
        <v>3</v>
      </c>
      <c r="R104">
        <v>2</v>
      </c>
      <c r="S104">
        <v>2</v>
      </c>
      <c r="T104">
        <v>1</v>
      </c>
      <c r="U104">
        <v>1</v>
      </c>
      <c r="V104" s="28">
        <v>3.5</v>
      </c>
      <c r="W104" s="28">
        <v>2</v>
      </c>
      <c r="Y104" s="5"/>
    </row>
    <row r="105" spans="10:25" ht="15.75" thickBot="1" x14ac:dyDescent="0.3">
      <c r="L105" s="5"/>
      <c r="M105" s="5"/>
      <c r="N105" s="5"/>
      <c r="O105" s="7"/>
      <c r="P105">
        <v>2</v>
      </c>
      <c r="Q105">
        <v>2</v>
      </c>
      <c r="R105">
        <v>1</v>
      </c>
      <c r="S105">
        <v>4</v>
      </c>
      <c r="T105">
        <v>6</v>
      </c>
      <c r="U105">
        <v>2.5</v>
      </c>
      <c r="V105" s="28">
        <v>3.5</v>
      </c>
      <c r="W105" s="28">
        <v>1</v>
      </c>
    </row>
    <row r="106" spans="10:25" ht="15.75" thickBot="1" x14ac:dyDescent="0.3">
      <c r="J106" t="s">
        <v>96</v>
      </c>
      <c r="L106" s="57" t="s">
        <v>182</v>
      </c>
      <c r="M106" s="58" t="s">
        <v>183</v>
      </c>
      <c r="N106" s="5"/>
      <c r="O106" s="5"/>
      <c r="P106">
        <v>1</v>
      </c>
      <c r="Q106">
        <v>1</v>
      </c>
      <c r="R106">
        <v>3</v>
      </c>
      <c r="S106">
        <v>5.5</v>
      </c>
      <c r="T106">
        <v>4</v>
      </c>
      <c r="U106">
        <v>2.5</v>
      </c>
      <c r="V106" s="28">
        <v>3.5</v>
      </c>
      <c r="W106" s="28">
        <v>3</v>
      </c>
    </row>
    <row r="107" spans="10:25" ht="15.75" thickBot="1" x14ac:dyDescent="0.3">
      <c r="L107" s="59">
        <v>3.01</v>
      </c>
      <c r="M107" s="60">
        <v>3.16</v>
      </c>
      <c r="N107" s="5"/>
      <c r="O107" s="5"/>
      <c r="P107" s="5"/>
      <c r="Q107" s="5"/>
    </row>
    <row r="108" spans="10:25" x14ac:dyDescent="0.25">
      <c r="L108" s="5"/>
      <c r="M108" s="5"/>
      <c r="N108" s="5"/>
      <c r="O108" s="5"/>
      <c r="P108" s="5"/>
      <c r="Q108" s="5"/>
    </row>
    <row r="109" spans="10:25" x14ac:dyDescent="0.25">
      <c r="L109" s="5"/>
      <c r="M109" s="5"/>
      <c r="N109" s="5"/>
      <c r="O109" s="5"/>
      <c r="P109" s="5">
        <v>3.5</v>
      </c>
      <c r="Q109" s="5">
        <v>1</v>
      </c>
      <c r="R109">
        <v>3.5</v>
      </c>
      <c r="S109">
        <v>5</v>
      </c>
      <c r="T109">
        <v>6</v>
      </c>
      <c r="U109">
        <v>2</v>
      </c>
    </row>
    <row r="110" spans="10:25" x14ac:dyDescent="0.25">
      <c r="L110" s="4">
        <f>_xlfn.F.INV.RT(0.05,3,24)</f>
        <v>3.0087865704473615</v>
      </c>
      <c r="M110" s="4">
        <f>_xlfn.F.INV.RT(0.05,3,18)</f>
        <v>3.1599075898007243</v>
      </c>
      <c r="N110" s="5"/>
      <c r="O110" s="5"/>
      <c r="P110" s="5">
        <v>6</v>
      </c>
      <c r="Q110" s="5">
        <v>2</v>
      </c>
      <c r="R110">
        <v>4</v>
      </c>
      <c r="S110">
        <v>5</v>
      </c>
      <c r="T110">
        <v>3</v>
      </c>
      <c r="U110">
        <v>1</v>
      </c>
    </row>
    <row r="111" spans="10:25" x14ac:dyDescent="0.25">
      <c r="L111" s="5"/>
      <c r="M111" s="5"/>
      <c r="N111" s="5"/>
      <c r="O111" s="5"/>
      <c r="P111" s="5">
        <v>6</v>
      </c>
      <c r="Q111" s="5">
        <v>3</v>
      </c>
      <c r="R111">
        <v>4</v>
      </c>
      <c r="S111">
        <v>5</v>
      </c>
      <c r="T111">
        <v>2</v>
      </c>
      <c r="U111">
        <v>1</v>
      </c>
    </row>
    <row r="112" spans="10:25" ht="15.75" thickBot="1" x14ac:dyDescent="0.3">
      <c r="L112" s="4"/>
      <c r="M112" s="5"/>
      <c r="N112" s="5"/>
      <c r="O112" s="5"/>
      <c r="P112" s="5">
        <v>5</v>
      </c>
      <c r="Q112" s="5">
        <v>3</v>
      </c>
      <c r="R112">
        <v>2</v>
      </c>
      <c r="S112">
        <v>4</v>
      </c>
      <c r="T112">
        <v>6</v>
      </c>
      <c r="U112">
        <v>1</v>
      </c>
    </row>
    <row r="113" spans="4:21" ht="18" thickBot="1" x14ac:dyDescent="0.3">
      <c r="E113" s="61" t="s">
        <v>100</v>
      </c>
      <c r="F113" s="62">
        <v>2.85</v>
      </c>
      <c r="L113" s="5"/>
      <c r="M113" s="5"/>
      <c r="N113" s="5"/>
      <c r="O113" s="5"/>
      <c r="P113" s="5">
        <v>6</v>
      </c>
      <c r="Q113" s="5">
        <v>3</v>
      </c>
      <c r="R113">
        <v>4</v>
      </c>
      <c r="S113">
        <v>5</v>
      </c>
      <c r="T113">
        <v>1</v>
      </c>
      <c r="U113">
        <v>2</v>
      </c>
    </row>
    <row r="114" spans="4:21" x14ac:dyDescent="0.25">
      <c r="L114" s="5"/>
      <c r="M114" s="5"/>
      <c r="N114" s="5"/>
      <c r="O114" s="5"/>
      <c r="P114" s="5"/>
      <c r="Q114" s="5"/>
    </row>
    <row r="115" spans="4:21" x14ac:dyDescent="0.25">
      <c r="E115" t="s">
        <v>97</v>
      </c>
      <c r="G115">
        <f>SQRT(E45*(E72+1)/(6*E44))</f>
        <v>0.69006555934235425</v>
      </c>
      <c r="L115" s="5"/>
      <c r="M115" s="5"/>
      <c r="N115" s="5"/>
      <c r="O115" s="5"/>
      <c r="P115" s="5">
        <v>3.5</v>
      </c>
      <c r="Q115" s="5">
        <v>6</v>
      </c>
      <c r="R115" s="5">
        <v>6</v>
      </c>
      <c r="S115" s="5">
        <v>5</v>
      </c>
      <c r="T115" s="5">
        <v>6</v>
      </c>
    </row>
    <row r="116" spans="4:21" x14ac:dyDescent="0.25">
      <c r="L116" s="5"/>
      <c r="M116" s="5"/>
      <c r="N116" s="5"/>
      <c r="O116" s="5"/>
      <c r="P116" s="5">
        <v>1</v>
      </c>
      <c r="Q116" s="5">
        <v>2</v>
      </c>
      <c r="R116" s="5">
        <v>3</v>
      </c>
      <c r="S116" s="5">
        <v>3</v>
      </c>
      <c r="T116" s="5">
        <v>3</v>
      </c>
    </row>
    <row r="117" spans="4:21" x14ac:dyDescent="0.25">
      <c r="E117" t="s">
        <v>98</v>
      </c>
      <c r="F117">
        <f>F113*G115</f>
        <v>1.9666868441257097</v>
      </c>
      <c r="L117" s="5"/>
      <c r="M117" s="5"/>
      <c r="N117" s="5"/>
      <c r="O117" s="5"/>
      <c r="P117">
        <v>3.5</v>
      </c>
      <c r="Q117">
        <v>4</v>
      </c>
      <c r="R117">
        <v>4</v>
      </c>
      <c r="S117">
        <v>2</v>
      </c>
      <c r="T117">
        <v>4</v>
      </c>
    </row>
    <row r="118" spans="4:21" x14ac:dyDescent="0.25">
      <c r="E118" t="s">
        <v>99</v>
      </c>
      <c r="F118">
        <f>F113*SQRT(E72*(E72+1)/(6*E71))</f>
        <v>2.3270152556440191</v>
      </c>
      <c r="L118" s="5"/>
      <c r="M118" s="5"/>
      <c r="N118" s="5"/>
      <c r="O118" s="5"/>
      <c r="P118">
        <v>5</v>
      </c>
      <c r="Q118">
        <v>5</v>
      </c>
      <c r="R118">
        <v>5</v>
      </c>
      <c r="S118">
        <v>4</v>
      </c>
      <c r="T118">
        <v>5</v>
      </c>
    </row>
    <row r="119" spans="4:21" x14ac:dyDescent="0.25">
      <c r="L119" s="5"/>
      <c r="M119" s="5"/>
      <c r="N119" s="5"/>
      <c r="O119" s="5"/>
      <c r="P119">
        <v>6</v>
      </c>
      <c r="Q119">
        <v>3</v>
      </c>
      <c r="R119">
        <v>2</v>
      </c>
      <c r="S119">
        <v>6</v>
      </c>
      <c r="T119">
        <v>1</v>
      </c>
    </row>
    <row r="120" spans="4:21" x14ac:dyDescent="0.25">
      <c r="L120" s="5"/>
      <c r="M120" s="5"/>
      <c r="N120" s="5"/>
      <c r="O120" s="5"/>
      <c r="P120">
        <v>2</v>
      </c>
      <c r="Q120">
        <v>1</v>
      </c>
      <c r="R120">
        <v>1</v>
      </c>
      <c r="S120">
        <v>1</v>
      </c>
      <c r="T120">
        <v>2</v>
      </c>
    </row>
    <row r="121" spans="4:21" x14ac:dyDescent="0.25">
      <c r="L121" s="5"/>
      <c r="M121" s="5"/>
      <c r="N121" s="5"/>
      <c r="O121" s="5"/>
      <c r="P121" s="5"/>
      <c r="Q121" s="5"/>
    </row>
    <row r="122" spans="4:21" x14ac:dyDescent="0.25">
      <c r="E122" t="s">
        <v>101</v>
      </c>
      <c r="G122" t="s">
        <v>103</v>
      </c>
      <c r="H122">
        <v>0.48799999999999999</v>
      </c>
      <c r="L122" s="5"/>
      <c r="M122" s="5"/>
      <c r="N122" s="5"/>
      <c r="O122" s="5"/>
      <c r="P122" s="5"/>
      <c r="Q122" s="5"/>
    </row>
    <row r="123" spans="4:21" x14ac:dyDescent="0.25">
      <c r="L123" s="5"/>
      <c r="M123" s="5"/>
      <c r="N123" s="5"/>
      <c r="O123" s="5"/>
      <c r="P123" s="5"/>
      <c r="Q123" s="5"/>
    </row>
    <row r="124" spans="4:21" x14ac:dyDescent="0.25">
      <c r="D124" s="5"/>
      <c r="E124" t="s">
        <v>102</v>
      </c>
      <c r="F124">
        <v>3.1429999999999998</v>
      </c>
      <c r="G124">
        <f>(F124-F125)/H122</f>
        <v>2.4159836065573765</v>
      </c>
      <c r="Q124" s="5"/>
    </row>
    <row r="125" spans="4:21" x14ac:dyDescent="0.25">
      <c r="E125" t="s">
        <v>38</v>
      </c>
      <c r="F125">
        <v>1.964</v>
      </c>
    </row>
    <row r="128" spans="4:21" x14ac:dyDescent="0.25">
      <c r="E128" t="s">
        <v>101</v>
      </c>
      <c r="G128" t="s">
        <v>103</v>
      </c>
      <c r="H128">
        <f>SQRT(E45*(E72+1)/(6*E44))</f>
        <v>0.69006555934235425</v>
      </c>
    </row>
    <row r="130" spans="4:31" x14ac:dyDescent="0.25">
      <c r="D130">
        <v>1</v>
      </c>
      <c r="E130" t="s">
        <v>67</v>
      </c>
      <c r="F130">
        <v>3.5</v>
      </c>
      <c r="G130">
        <f>(F131-F130)/H128</f>
        <v>2.7171331399105196</v>
      </c>
      <c r="H130">
        <f>(_xlfn.NORM.S.DIST(-1*G130,TRUE))*2</f>
        <v>6.5850112355295889E-3</v>
      </c>
      <c r="I130">
        <f>0.05/(4-D130)</f>
        <v>1.6666666666666666E-2</v>
      </c>
    </row>
    <row r="131" spans="4:31" x14ac:dyDescent="0.25">
      <c r="E131" t="s">
        <v>18</v>
      </c>
      <c r="F131">
        <v>5.375</v>
      </c>
    </row>
    <row r="140" spans="4:31" x14ac:dyDescent="0.25">
      <c r="S140" t="s">
        <v>136</v>
      </c>
    </row>
    <row r="141" spans="4:31" x14ac:dyDescent="0.25"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M141" t="s">
        <v>119</v>
      </c>
      <c r="N141" t="s">
        <v>120</v>
      </c>
      <c r="O141" t="s">
        <v>121</v>
      </c>
      <c r="P141" t="s">
        <v>122</v>
      </c>
      <c r="Q141" t="s">
        <v>123</v>
      </c>
      <c r="R141" t="s">
        <v>124</v>
      </c>
      <c r="S141" t="s">
        <v>125</v>
      </c>
      <c r="T141" t="s">
        <v>126</v>
      </c>
      <c r="U141" t="s">
        <v>127</v>
      </c>
      <c r="V141" t="s">
        <v>128</v>
      </c>
      <c r="W141" t="s">
        <v>129</v>
      </c>
      <c r="X141" t="s">
        <v>130</v>
      </c>
      <c r="Y141" t="s">
        <v>131</v>
      </c>
      <c r="Z141" t="s">
        <v>132</v>
      </c>
      <c r="AA141" t="s">
        <v>133</v>
      </c>
      <c r="AC141" t="s">
        <v>134</v>
      </c>
      <c r="AD141" t="s">
        <v>135</v>
      </c>
    </row>
    <row r="142" spans="4:31" x14ac:dyDescent="0.25">
      <c r="D142" t="s">
        <v>111</v>
      </c>
      <c r="E142" t="s">
        <v>67</v>
      </c>
      <c r="F142" t="s">
        <v>18</v>
      </c>
      <c r="G142" t="s">
        <v>68</v>
      </c>
      <c r="H142" t="s">
        <v>65</v>
      </c>
      <c r="I142" t="s">
        <v>56</v>
      </c>
      <c r="J142" t="s">
        <v>85</v>
      </c>
      <c r="M142">
        <f>F143-E143</f>
        <v>1.875</v>
      </c>
      <c r="N142">
        <f>G143-E143</f>
        <v>0.75</v>
      </c>
      <c r="O142">
        <f>E143-H143</f>
        <v>1.3125</v>
      </c>
      <c r="P142">
        <f>E143-I143</f>
        <v>0.75</v>
      </c>
      <c r="Q142">
        <f>E143-J143</f>
        <v>0.5625</v>
      </c>
      <c r="R142">
        <f>F143-G143</f>
        <v>1.125</v>
      </c>
      <c r="S142" s="6">
        <f>F143-H143</f>
        <v>3.1875</v>
      </c>
      <c r="T142">
        <f>F143-I143</f>
        <v>2.625</v>
      </c>
      <c r="U142">
        <f>F143-J143</f>
        <v>2.4375</v>
      </c>
      <c r="V142">
        <f>G143-H143</f>
        <v>2.0625</v>
      </c>
      <c r="W142">
        <f>G143-I143</f>
        <v>1.5</v>
      </c>
      <c r="X142">
        <f>G143-J143</f>
        <v>1.3125</v>
      </c>
      <c r="Y142">
        <f>(H143-I143)*-1</f>
        <v>0.5625</v>
      </c>
      <c r="Z142">
        <f>(H143-J143)*-1</f>
        <v>0.75</v>
      </c>
      <c r="AA142">
        <f>(I143-J143)*-1</f>
        <v>0.1875</v>
      </c>
      <c r="AC142">
        <f>MAX(M142:AA142)</f>
        <v>3.1875</v>
      </c>
      <c r="AD142">
        <f>MIN(M142:AA142)</f>
        <v>0.1875</v>
      </c>
      <c r="AE142" s="3"/>
    </row>
    <row r="143" spans="4:31" x14ac:dyDescent="0.25">
      <c r="E143">
        <v>3.5</v>
      </c>
      <c r="F143">
        <v>5.375</v>
      </c>
      <c r="G143">
        <v>4.25</v>
      </c>
      <c r="H143">
        <v>2.1875</v>
      </c>
      <c r="I143">
        <v>2.75</v>
      </c>
      <c r="J143">
        <v>2.9375</v>
      </c>
    </row>
    <row r="146" spans="4:31" x14ac:dyDescent="0.25">
      <c r="M146" t="s">
        <v>113</v>
      </c>
      <c r="N146" t="s">
        <v>115</v>
      </c>
      <c r="O146" t="s">
        <v>114</v>
      </c>
      <c r="P146" t="s">
        <v>116</v>
      </c>
      <c r="Q146" t="s">
        <v>117</v>
      </c>
    </row>
    <row r="147" spans="4:31" x14ac:dyDescent="0.25">
      <c r="D147" t="s">
        <v>112</v>
      </c>
      <c r="E147" t="s">
        <v>67</v>
      </c>
      <c r="F147" t="s">
        <v>18</v>
      </c>
      <c r="G147" t="s">
        <v>68</v>
      </c>
      <c r="H147" t="s">
        <v>65</v>
      </c>
      <c r="I147" t="s">
        <v>56</v>
      </c>
      <c r="J147" t="s">
        <v>85</v>
      </c>
      <c r="M147">
        <f>(F148-E148)*-1</f>
        <v>2.9</v>
      </c>
      <c r="N147">
        <f>(G148-E148)*-1</f>
        <v>1.7999999999999998</v>
      </c>
      <c r="O147">
        <f>E148-H148</f>
        <v>0.5</v>
      </c>
      <c r="P147">
        <f>E148-I148</f>
        <v>1.6999999999999997</v>
      </c>
      <c r="Q147" s="6">
        <f>E148-J148</f>
        <v>3.9</v>
      </c>
      <c r="R147">
        <f>(F148-G148)*-1</f>
        <v>1.1000000000000001</v>
      </c>
      <c r="S147">
        <f>(F148-H148)*-1</f>
        <v>2.4</v>
      </c>
      <c r="T147">
        <f>(F148-I148)*-1</f>
        <v>1.2000000000000002</v>
      </c>
      <c r="U147">
        <f>F148-J148</f>
        <v>1</v>
      </c>
      <c r="V147">
        <f>(G148-H148)*-1</f>
        <v>1.2999999999999998</v>
      </c>
      <c r="W147">
        <f>(G148-I148)*-1</f>
        <v>0.10000000000000009</v>
      </c>
      <c r="X147">
        <f>G148-J148</f>
        <v>2.1</v>
      </c>
      <c r="Y147">
        <f>H148-I148</f>
        <v>1.1999999999999997</v>
      </c>
      <c r="Z147">
        <f>H148-J148</f>
        <v>3.4</v>
      </c>
      <c r="AA147">
        <f>I148-J148</f>
        <v>2.2000000000000002</v>
      </c>
      <c r="AC147">
        <f>MAX(M147:AA147)</f>
        <v>3.9</v>
      </c>
      <c r="AD147">
        <f>MIN(M147:AA147)</f>
        <v>0.10000000000000009</v>
      </c>
      <c r="AE147" s="3"/>
    </row>
    <row r="148" spans="4:31" x14ac:dyDescent="0.25">
      <c r="E148">
        <v>5.3</v>
      </c>
      <c r="F148">
        <v>2.4</v>
      </c>
      <c r="G148">
        <v>3.5</v>
      </c>
      <c r="H148">
        <v>4.8</v>
      </c>
      <c r="I148">
        <v>3.6</v>
      </c>
      <c r="J148">
        <v>1.4</v>
      </c>
    </row>
    <row r="156" spans="4:31" x14ac:dyDescent="0.25">
      <c r="E156" s="16" t="s">
        <v>84</v>
      </c>
    </row>
    <row r="159" spans="4:31" x14ac:dyDescent="0.25">
      <c r="E159" s="11" t="s">
        <v>69</v>
      </c>
      <c r="F159" s="40"/>
      <c r="G159" s="102" t="s">
        <v>18</v>
      </c>
      <c r="H159" s="102" t="s">
        <v>57</v>
      </c>
      <c r="I159" s="102" t="s">
        <v>65</v>
      </c>
      <c r="J159" s="86" t="s">
        <v>85</v>
      </c>
      <c r="K159" s="102"/>
      <c r="L159" s="29"/>
    </row>
    <row r="160" spans="4:31" x14ac:dyDescent="0.25">
      <c r="D160">
        <v>1</v>
      </c>
      <c r="E160" s="19" t="s">
        <v>48</v>
      </c>
      <c r="G160" t="str">
        <f t="shared" ref="G160:J166" si="20">CONCATENATE(ROUND(F4,2)," (",F23,")")</f>
        <v>90.14 (3.5)</v>
      </c>
      <c r="H160" t="str">
        <f t="shared" si="20"/>
        <v>90.14 (3.5)</v>
      </c>
      <c r="I160" t="str">
        <f t="shared" si="20"/>
        <v>91.7 (1)</v>
      </c>
      <c r="J160" t="str">
        <f t="shared" si="20"/>
        <v>91.15 (2)</v>
      </c>
    </row>
    <row r="161" spans="4:12" x14ac:dyDescent="0.25">
      <c r="D161">
        <v>2</v>
      </c>
      <c r="E161" s="19" t="s">
        <v>49</v>
      </c>
      <c r="G161" t="str">
        <f t="shared" si="20"/>
        <v>90.73 (2.5)</v>
      </c>
      <c r="H161" t="str">
        <f t="shared" si="20"/>
        <v>90.73 (2.5)</v>
      </c>
      <c r="I161" t="str">
        <f t="shared" si="20"/>
        <v>91.23 (1)</v>
      </c>
      <c r="J161" t="str">
        <f t="shared" si="20"/>
        <v>87.98 (4)</v>
      </c>
    </row>
    <row r="162" spans="4:12" x14ac:dyDescent="0.25">
      <c r="D162">
        <v>3</v>
      </c>
      <c r="E162" s="75" t="s">
        <v>173</v>
      </c>
      <c r="G162" t="str">
        <f t="shared" si="20"/>
        <v>81.44 (2.5)</v>
      </c>
      <c r="H162" t="str">
        <f t="shared" si="20"/>
        <v>81.44 (2.5)</v>
      </c>
      <c r="I162" t="str">
        <f t="shared" si="20"/>
        <v>81.18 (4)</v>
      </c>
      <c r="J162" t="str">
        <f t="shared" si="20"/>
        <v>82.55 (1)</v>
      </c>
    </row>
    <row r="163" spans="4:12" x14ac:dyDescent="0.25">
      <c r="D163">
        <v>4</v>
      </c>
      <c r="E163" s="19" t="s">
        <v>51</v>
      </c>
      <c r="G163" t="str">
        <f t="shared" si="20"/>
        <v>72.38 (3)</v>
      </c>
      <c r="H163" t="str">
        <f t="shared" si="20"/>
        <v>72.38 (4)</v>
      </c>
      <c r="I163" t="str">
        <f t="shared" si="20"/>
        <v>73.51 (1)</v>
      </c>
      <c r="J163" t="str">
        <f t="shared" si="20"/>
        <v>73.3 (2)</v>
      </c>
    </row>
    <row r="164" spans="4:12" x14ac:dyDescent="0.25">
      <c r="D164">
        <v>5</v>
      </c>
      <c r="E164" s="19" t="s">
        <v>52</v>
      </c>
      <c r="G164" t="str">
        <f t="shared" si="20"/>
        <v>92.57 (2)</v>
      </c>
      <c r="H164" t="str">
        <f t="shared" si="20"/>
        <v>92.57 (3)</v>
      </c>
      <c r="I164" t="str">
        <f t="shared" si="20"/>
        <v>93.8 (1)</v>
      </c>
      <c r="J164" t="str">
        <f t="shared" si="20"/>
        <v>88.53 (4)</v>
      </c>
    </row>
    <row r="165" spans="4:12" x14ac:dyDescent="0.25">
      <c r="D165">
        <v>6</v>
      </c>
      <c r="E165" s="19" t="s">
        <v>53</v>
      </c>
      <c r="G165" t="str">
        <f t="shared" si="20"/>
        <v>87.86 (3.5)</v>
      </c>
      <c r="H165" t="str">
        <f t="shared" si="20"/>
        <v>87.86 (3.5)</v>
      </c>
      <c r="I165" t="str">
        <f t="shared" si="20"/>
        <v>88.54 (2)</v>
      </c>
      <c r="J165" t="str">
        <f t="shared" si="20"/>
        <v>88.84 (1)</v>
      </c>
    </row>
    <row r="166" spans="4:12" x14ac:dyDescent="0.25">
      <c r="D166">
        <v>7</v>
      </c>
      <c r="E166" s="19" t="s">
        <v>55</v>
      </c>
      <c r="G166" t="str">
        <f t="shared" si="20"/>
        <v>89.65 (3.5)</v>
      </c>
      <c r="H166" t="str">
        <f t="shared" si="20"/>
        <v>89.65 (3.5)</v>
      </c>
      <c r="I166" t="str">
        <f t="shared" si="20"/>
        <v>94.59 (1.5)</v>
      </c>
      <c r="J166" t="str">
        <f t="shared" si="20"/>
        <v>94.59 (1.5)</v>
      </c>
    </row>
    <row r="169" spans="4:12" x14ac:dyDescent="0.25">
      <c r="E169" s="11" t="s">
        <v>69</v>
      </c>
      <c r="F169" s="40"/>
      <c r="G169" s="102" t="s">
        <v>18</v>
      </c>
      <c r="H169" s="102" t="s">
        <v>57</v>
      </c>
      <c r="I169" s="102" t="s">
        <v>65</v>
      </c>
      <c r="J169" s="86" t="s">
        <v>85</v>
      </c>
      <c r="K169" s="102"/>
      <c r="L169" s="29"/>
    </row>
    <row r="170" spans="4:12" x14ac:dyDescent="0.25">
      <c r="D170">
        <v>1</v>
      </c>
      <c r="E170" s="88" t="s">
        <v>76</v>
      </c>
      <c r="F170" s="33"/>
      <c r="G170" t="str">
        <f t="shared" ref="G170:J174" si="21">CONCATENATE(ROUND(F14,2)," (",F34,")")</f>
        <v>90.8 (1.5)</v>
      </c>
      <c r="H170" t="str">
        <f t="shared" si="21"/>
        <v>90.8 (1.5)</v>
      </c>
      <c r="I170" t="str">
        <f t="shared" si="21"/>
        <v>89.76 (3.5)</v>
      </c>
      <c r="J170" t="str">
        <f t="shared" si="21"/>
        <v>89.76 (3.5)</v>
      </c>
    </row>
    <row r="171" spans="4:12" x14ac:dyDescent="0.25">
      <c r="D171">
        <v>2</v>
      </c>
      <c r="E171" s="88" t="s">
        <v>75</v>
      </c>
      <c r="G171" t="str">
        <f t="shared" si="21"/>
        <v>87.95 (1)</v>
      </c>
      <c r="H171" t="str">
        <f t="shared" si="21"/>
        <v>87.93 (2)</v>
      </c>
      <c r="I171" t="str">
        <f t="shared" si="21"/>
        <v>81.23 (4)</v>
      </c>
      <c r="J171" t="str">
        <f t="shared" si="21"/>
        <v>81.38 (3)</v>
      </c>
    </row>
    <row r="172" spans="4:12" x14ac:dyDescent="0.25">
      <c r="D172">
        <v>3</v>
      </c>
      <c r="E172" s="75" t="s">
        <v>169</v>
      </c>
      <c r="G172" t="str">
        <f t="shared" si="21"/>
        <v>89.69 (1.5)</v>
      </c>
      <c r="H172" t="str">
        <f t="shared" si="21"/>
        <v>89.69 (1.5)</v>
      </c>
      <c r="I172" t="str">
        <f t="shared" si="21"/>
        <v>87.87 (3)</v>
      </c>
      <c r="J172" t="str">
        <f t="shared" si="21"/>
        <v>85.25 (4)</v>
      </c>
    </row>
    <row r="173" spans="4:12" x14ac:dyDescent="0.25">
      <c r="D173">
        <v>4</v>
      </c>
      <c r="E173" s="19" t="s">
        <v>170</v>
      </c>
      <c r="G173" t="str">
        <f t="shared" si="21"/>
        <v>94 (1.5)</v>
      </c>
      <c r="H173" t="str">
        <f t="shared" si="21"/>
        <v>94 (1.5)</v>
      </c>
      <c r="I173" t="str">
        <f t="shared" si="21"/>
        <v>88.42 (4)</v>
      </c>
      <c r="J173" t="str">
        <f t="shared" si="21"/>
        <v>88.52 (3)</v>
      </c>
    </row>
    <row r="174" spans="4:12" x14ac:dyDescent="0.25">
      <c r="D174">
        <v>5</v>
      </c>
      <c r="E174" s="19" t="s">
        <v>171</v>
      </c>
      <c r="G174" t="str">
        <f t="shared" si="21"/>
        <v>92.2 (1.5)</v>
      </c>
      <c r="H174" t="str">
        <f t="shared" si="21"/>
        <v>92.2 (1.5)</v>
      </c>
      <c r="I174" t="str">
        <f t="shared" si="21"/>
        <v>87.25 (3)</v>
      </c>
      <c r="J174" t="str">
        <f t="shared" si="21"/>
        <v>83.95 (4)</v>
      </c>
    </row>
    <row r="175" spans="4:12" x14ac:dyDescent="0.25">
      <c r="E175" s="100"/>
    </row>
    <row r="176" spans="4:12" x14ac:dyDescent="0.25">
      <c r="E176" s="88"/>
    </row>
    <row r="177" spans="5:5" x14ac:dyDescent="0.25">
      <c r="E177" s="95"/>
    </row>
    <row r="178" spans="5:5" x14ac:dyDescent="0.25">
      <c r="E178" s="8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84"/>
  <sheetViews>
    <sheetView tabSelected="1" topLeftCell="C60" zoomScale="70" zoomScaleNormal="70" workbookViewId="0">
      <selection activeCell="G76" sqref="G76"/>
    </sheetView>
  </sheetViews>
  <sheetFormatPr defaultRowHeight="15" x14ac:dyDescent="0.25"/>
  <cols>
    <col min="3" max="3" width="10.7109375" bestFit="1" customWidth="1"/>
    <col min="4" max="4" width="9.140625" customWidth="1"/>
    <col min="5" max="5" width="9.7109375" customWidth="1"/>
    <col min="6" max="6" width="18.42578125" customWidth="1"/>
    <col min="7" max="7" width="10" bestFit="1" customWidth="1"/>
    <col min="8" max="8" width="14.42578125" bestFit="1" customWidth="1"/>
    <col min="9" max="9" width="15.5703125" customWidth="1"/>
    <col min="10" max="10" width="17" bestFit="1" customWidth="1"/>
    <col min="11" max="11" width="32" bestFit="1" customWidth="1"/>
    <col min="12" max="12" width="25.28515625" customWidth="1"/>
    <col min="13" max="13" width="13.85546875" bestFit="1" customWidth="1"/>
    <col min="14" max="14" width="13.28515625" bestFit="1" customWidth="1"/>
    <col min="16" max="16" width="18.5703125" bestFit="1" customWidth="1"/>
    <col min="19" max="20" width="18.5703125" bestFit="1" customWidth="1"/>
    <col min="21" max="21" width="13.42578125" customWidth="1"/>
  </cols>
  <sheetData>
    <row r="2" spans="3:17" x14ac:dyDescent="0.25">
      <c r="D2" s="122" t="s">
        <v>111</v>
      </c>
      <c r="E2" s="122"/>
      <c r="F2" s="122"/>
      <c r="G2" s="122"/>
      <c r="H2" s="122"/>
      <c r="I2" s="122"/>
      <c r="L2" s="122" t="s">
        <v>112</v>
      </c>
      <c r="M2" s="122"/>
      <c r="N2" s="122"/>
      <c r="O2" s="122"/>
      <c r="P2" s="122"/>
      <c r="Q2" s="122"/>
    </row>
    <row r="3" spans="3:17" x14ac:dyDescent="0.25">
      <c r="D3" s="121"/>
      <c r="E3" s="90" t="s">
        <v>192</v>
      </c>
      <c r="F3" s="90" t="s">
        <v>184</v>
      </c>
      <c r="G3" s="90" t="s">
        <v>191</v>
      </c>
      <c r="H3" s="94" t="s">
        <v>190</v>
      </c>
      <c r="I3" s="29"/>
      <c r="L3" s="121"/>
      <c r="M3" s="90" t="s">
        <v>192</v>
      </c>
      <c r="N3" s="90" t="s">
        <v>184</v>
      </c>
      <c r="O3" s="90" t="s">
        <v>191</v>
      </c>
      <c r="P3" s="94" t="s">
        <v>190</v>
      </c>
      <c r="Q3" s="29"/>
    </row>
    <row r="4" spans="3:17" x14ac:dyDescent="0.25">
      <c r="D4" s="19"/>
      <c r="E4" s="19">
        <v>3.5</v>
      </c>
      <c r="F4" s="19">
        <v>3.5</v>
      </c>
      <c r="G4" s="19">
        <v>1</v>
      </c>
      <c r="H4" s="19">
        <v>2</v>
      </c>
      <c r="I4" s="19"/>
      <c r="L4" s="19"/>
      <c r="M4" s="19">
        <v>1.5</v>
      </c>
      <c r="N4" s="19">
        <v>1.5</v>
      </c>
      <c r="O4" s="19">
        <v>3.5</v>
      </c>
      <c r="P4" s="19">
        <v>3.5</v>
      </c>
      <c r="Q4" s="19"/>
    </row>
    <row r="5" spans="3:17" x14ac:dyDescent="0.25">
      <c r="D5" s="19"/>
      <c r="E5" s="19">
        <v>2.5</v>
      </c>
      <c r="F5" s="19">
        <v>2.5</v>
      </c>
      <c r="G5" s="19">
        <v>1</v>
      </c>
      <c r="H5" s="19">
        <v>4</v>
      </c>
      <c r="I5" s="19"/>
      <c r="L5" s="19"/>
      <c r="M5" s="19">
        <v>1</v>
      </c>
      <c r="N5" s="19">
        <v>2</v>
      </c>
      <c r="O5" s="19">
        <v>4</v>
      </c>
      <c r="P5" s="19">
        <v>3</v>
      </c>
      <c r="Q5" s="19"/>
    </row>
    <row r="6" spans="3:17" x14ac:dyDescent="0.25">
      <c r="D6" s="19"/>
      <c r="E6" s="19">
        <v>2.5</v>
      </c>
      <c r="F6" s="19">
        <v>2.5</v>
      </c>
      <c r="G6" s="19">
        <v>4</v>
      </c>
      <c r="H6" s="19">
        <v>1</v>
      </c>
      <c r="I6" s="19"/>
      <c r="L6" s="19"/>
      <c r="M6" s="19">
        <v>1.5</v>
      </c>
      <c r="N6" s="19">
        <v>1.5</v>
      </c>
      <c r="O6" s="19">
        <v>3</v>
      </c>
      <c r="P6" s="19">
        <v>4</v>
      </c>
      <c r="Q6" s="19"/>
    </row>
    <row r="7" spans="3:17" x14ac:dyDescent="0.25">
      <c r="D7" s="19"/>
      <c r="E7" s="19">
        <v>3</v>
      </c>
      <c r="F7" s="19">
        <v>4</v>
      </c>
      <c r="G7" s="19">
        <v>1</v>
      </c>
      <c r="H7" s="19">
        <v>2</v>
      </c>
      <c r="I7" s="19"/>
      <c r="L7" s="19"/>
      <c r="M7" s="19">
        <v>1.5</v>
      </c>
      <c r="N7" s="19">
        <v>1.5</v>
      </c>
      <c r="O7" s="19">
        <v>4</v>
      </c>
      <c r="P7" s="19">
        <v>3</v>
      </c>
      <c r="Q7" s="19"/>
    </row>
    <row r="8" spans="3:17" x14ac:dyDescent="0.25">
      <c r="D8" s="19"/>
      <c r="E8" s="19">
        <v>2</v>
      </c>
      <c r="F8" s="19">
        <v>3</v>
      </c>
      <c r="G8" s="19">
        <v>1</v>
      </c>
      <c r="H8" s="19">
        <v>4</v>
      </c>
      <c r="I8" s="19"/>
      <c r="L8" s="19"/>
      <c r="M8" s="19">
        <v>1.5</v>
      </c>
      <c r="N8" s="19">
        <v>1.5</v>
      </c>
      <c r="O8" s="19">
        <v>3</v>
      </c>
      <c r="P8" s="19">
        <v>4</v>
      </c>
      <c r="Q8" s="19"/>
    </row>
    <row r="9" spans="3:17" x14ac:dyDescent="0.25">
      <c r="D9" s="19"/>
      <c r="E9" s="19">
        <v>3.5</v>
      </c>
      <c r="F9" s="19">
        <v>3.5</v>
      </c>
      <c r="G9" s="19">
        <v>2</v>
      </c>
      <c r="H9" s="19">
        <v>1</v>
      </c>
      <c r="I9" s="19"/>
      <c r="J9" s="2"/>
      <c r="K9" s="16" t="s">
        <v>159</v>
      </c>
      <c r="Q9" s="37"/>
    </row>
    <row r="10" spans="3:17" x14ac:dyDescent="0.25">
      <c r="D10" s="19"/>
      <c r="E10" s="19">
        <v>3.5</v>
      </c>
      <c r="F10" s="19">
        <v>3.5</v>
      </c>
      <c r="G10" s="19">
        <v>1.5</v>
      </c>
      <c r="H10" s="19">
        <v>1.5</v>
      </c>
      <c r="I10" s="19"/>
      <c r="L10" s="81"/>
      <c r="M10" s="81"/>
      <c r="N10" s="81"/>
      <c r="O10" s="81"/>
      <c r="P10" s="81"/>
      <c r="Q10" s="81"/>
    </row>
    <row r="11" spans="3:17" x14ac:dyDescent="0.25">
      <c r="D11" s="19"/>
      <c r="E11" s="19"/>
      <c r="F11" s="19"/>
      <c r="G11" s="19"/>
      <c r="H11" s="19"/>
      <c r="I11" s="19"/>
      <c r="L11" s="81"/>
      <c r="M11" s="81"/>
      <c r="N11" s="81"/>
      <c r="O11" s="81"/>
      <c r="P11" s="81"/>
      <c r="Q11" s="81"/>
    </row>
    <row r="12" spans="3:17" x14ac:dyDescent="0.25">
      <c r="C12" s="16" t="s">
        <v>159</v>
      </c>
      <c r="D12" s="30"/>
      <c r="E12" s="37">
        <f t="shared" ref="E12:H12" si="0">AVERAGE(E4:E11)</f>
        <v>2.9285714285714284</v>
      </c>
      <c r="F12" s="30">
        <f t="shared" si="0"/>
        <v>3.2142857142857144</v>
      </c>
      <c r="G12" s="37">
        <f t="shared" si="0"/>
        <v>1.6428571428571428</v>
      </c>
      <c r="H12" s="30">
        <f t="shared" si="0"/>
        <v>2.2142857142857144</v>
      </c>
      <c r="I12" s="30"/>
      <c r="J12" s="7"/>
    </row>
    <row r="13" spans="3:17" x14ac:dyDescent="0.25">
      <c r="I13" s="6"/>
      <c r="J13" s="8"/>
      <c r="Q13" s="6"/>
    </row>
    <row r="14" spans="3:17" x14ac:dyDescent="0.25">
      <c r="L14" s="37"/>
      <c r="M14" s="37">
        <f>AVERAGE(M4:M13)</f>
        <v>1.4</v>
      </c>
      <c r="N14" s="37">
        <f t="shared" ref="N14:P14" si="1">AVERAGE(N4:N13)</f>
        <v>1.6</v>
      </c>
      <c r="O14" s="37">
        <f t="shared" si="1"/>
        <v>3.5</v>
      </c>
      <c r="P14" s="37">
        <f t="shared" si="1"/>
        <v>3.5</v>
      </c>
    </row>
    <row r="15" spans="3:17" x14ac:dyDescent="0.25">
      <c r="D15" s="9" t="s">
        <v>25</v>
      </c>
      <c r="E15" s="9">
        <v>7</v>
      </c>
      <c r="L15" s="9" t="s">
        <v>25</v>
      </c>
      <c r="M15" s="9">
        <v>5</v>
      </c>
    </row>
    <row r="16" spans="3:17" x14ac:dyDescent="0.25">
      <c r="D16" s="9" t="s">
        <v>26</v>
      </c>
      <c r="E16" s="9">
        <v>4</v>
      </c>
      <c r="L16" s="9" t="s">
        <v>26</v>
      </c>
      <c r="M16" s="9">
        <v>4</v>
      </c>
    </row>
    <row r="17" spans="4:15" x14ac:dyDescent="0.25">
      <c r="D17" s="9" t="s">
        <v>134</v>
      </c>
      <c r="E17" s="31">
        <f>MAX(D12:I12)</f>
        <v>3.2142857142857144</v>
      </c>
      <c r="L17" s="9" t="s">
        <v>134</v>
      </c>
      <c r="M17" s="31">
        <f>MAX(L14:Q14)</f>
        <v>3.5</v>
      </c>
    </row>
    <row r="18" spans="4:15" x14ac:dyDescent="0.25">
      <c r="D18" s="9" t="s">
        <v>135</v>
      </c>
      <c r="E18" s="31">
        <f>MIN(D12:I12)</f>
        <v>1.6428571428571428</v>
      </c>
      <c r="L18" s="9" t="s">
        <v>135</v>
      </c>
      <c r="M18" s="31">
        <f>MIN(L14:Q14)</f>
        <v>1.4</v>
      </c>
    </row>
    <row r="19" spans="4:15" x14ac:dyDescent="0.25">
      <c r="D19" s="9" t="s">
        <v>142</v>
      </c>
      <c r="G19" s="78">
        <f>E17-E18</f>
        <v>1.5714285714285716</v>
      </c>
      <c r="L19" s="9" t="s">
        <v>142</v>
      </c>
      <c r="M19" s="9"/>
      <c r="O19" s="78">
        <f>M17-M18</f>
        <v>2.1</v>
      </c>
    </row>
    <row r="20" spans="4:15" x14ac:dyDescent="0.25">
      <c r="L20" s="10"/>
      <c r="M20" s="10"/>
      <c r="N20" s="10"/>
      <c r="O20" s="10"/>
    </row>
    <row r="21" spans="4:15" x14ac:dyDescent="0.25">
      <c r="L21" s="1"/>
      <c r="M21" s="1"/>
      <c r="N21" s="80"/>
      <c r="O21" s="10"/>
    </row>
    <row r="22" spans="4:15" x14ac:dyDescent="0.25">
      <c r="L22" s="54" t="s">
        <v>163</v>
      </c>
    </row>
    <row r="23" spans="4:15" ht="30" x14ac:dyDescent="0.25">
      <c r="F23" s="15" t="s">
        <v>149</v>
      </c>
      <c r="J23" s="77" t="s">
        <v>155</v>
      </c>
      <c r="L23" s="15" t="s">
        <v>149</v>
      </c>
    </row>
    <row r="25" spans="4:15" x14ac:dyDescent="0.25">
      <c r="D25" t="s">
        <v>143</v>
      </c>
      <c r="F25" s="74" t="s">
        <v>137</v>
      </c>
      <c r="G25" s="4">
        <f>SQRT((E16*(E16+1))/(6*E15))*R38</f>
        <v>1.7727784219505081</v>
      </c>
      <c r="L25" t="s">
        <v>143</v>
      </c>
      <c r="N25" s="74" t="s">
        <v>137</v>
      </c>
      <c r="O25" s="4">
        <f>SQRT((M16*(M16+1))/(6*M15))*R38</f>
        <v>2.0975797164033283</v>
      </c>
    </row>
    <row r="27" spans="4:15" x14ac:dyDescent="0.25">
      <c r="D27" t="s">
        <v>144</v>
      </c>
      <c r="F27" t="s">
        <v>151</v>
      </c>
      <c r="L27" t="s">
        <v>144</v>
      </c>
      <c r="N27" t="s">
        <v>151</v>
      </c>
    </row>
    <row r="29" spans="4:15" x14ac:dyDescent="0.25">
      <c r="D29" t="s">
        <v>146</v>
      </c>
      <c r="F29" t="s">
        <v>148</v>
      </c>
      <c r="L29" t="s">
        <v>146</v>
      </c>
      <c r="N29" t="s">
        <v>148</v>
      </c>
    </row>
    <row r="31" spans="4:15" x14ac:dyDescent="0.25">
      <c r="D31" s="16" t="s">
        <v>147</v>
      </c>
      <c r="E31" s="16"/>
      <c r="F31" s="16" t="str">
        <f>IF(G19&lt;G25,"Not Powerfull","Powerfull")</f>
        <v>Not Powerfull</v>
      </c>
      <c r="G31" s="16"/>
      <c r="L31" s="16" t="s">
        <v>147</v>
      </c>
      <c r="M31" s="16"/>
      <c r="N31" s="16" t="str">
        <f>IF(O19&lt;O25,"Not Powerfull","Powerfull")</f>
        <v>Powerfull</v>
      </c>
    </row>
    <row r="34" spans="4:20" x14ac:dyDescent="0.25">
      <c r="F34" s="15" t="s">
        <v>150</v>
      </c>
    </row>
    <row r="36" spans="4:20" x14ac:dyDescent="0.25">
      <c r="D36" t="s">
        <v>143</v>
      </c>
      <c r="F36" s="74" t="s">
        <v>137</v>
      </c>
      <c r="G36" s="4">
        <f>SQRT((E16*(E16+1))/(6*E15))*R39</f>
        <v>1.5809401964533336</v>
      </c>
      <c r="Q36" s="16" t="s">
        <v>140</v>
      </c>
    </row>
    <row r="37" spans="4:20" x14ac:dyDescent="0.25">
      <c r="Q37" s="9"/>
      <c r="R37" s="9">
        <v>4</v>
      </c>
      <c r="S37" s="9">
        <v>5</v>
      </c>
      <c r="T37" s="9">
        <v>6</v>
      </c>
    </row>
    <row r="38" spans="4:20" x14ac:dyDescent="0.25">
      <c r="D38" t="s">
        <v>144</v>
      </c>
      <c r="F38" t="s">
        <v>151</v>
      </c>
      <c r="Q38" s="9" t="s">
        <v>138</v>
      </c>
      <c r="R38" s="9">
        <v>2.569</v>
      </c>
      <c r="S38" s="9">
        <v>2.7280000000000002</v>
      </c>
      <c r="T38" s="9">
        <v>2.85</v>
      </c>
    </row>
    <row r="39" spans="4:20" x14ac:dyDescent="0.25">
      <c r="Q39" s="9" t="s">
        <v>139</v>
      </c>
      <c r="R39" s="9">
        <v>2.2909999999999999</v>
      </c>
      <c r="S39" s="9">
        <v>2.4590000000000001</v>
      </c>
      <c r="T39" s="9">
        <v>2.589</v>
      </c>
    </row>
    <row r="40" spans="4:20" x14ac:dyDescent="0.25">
      <c r="D40" t="s">
        <v>146</v>
      </c>
      <c r="F40" t="s">
        <v>148</v>
      </c>
    </row>
    <row r="41" spans="4:20" x14ac:dyDescent="0.25">
      <c r="Q41" s="16" t="s">
        <v>141</v>
      </c>
    </row>
    <row r="42" spans="4:20" x14ac:dyDescent="0.25">
      <c r="D42" s="16" t="s">
        <v>147</v>
      </c>
      <c r="E42" s="16"/>
      <c r="F42" s="16" t="str">
        <f>IF(O19&lt;G36,"Not Powerfull","Powerfull")</f>
        <v>Powerfull</v>
      </c>
      <c r="G42" s="16"/>
      <c r="Q42" s="9"/>
      <c r="R42" s="9">
        <v>4</v>
      </c>
      <c r="S42" s="9">
        <v>5</v>
      </c>
      <c r="T42" s="9">
        <v>6</v>
      </c>
    </row>
    <row r="43" spans="4:20" x14ac:dyDescent="0.25">
      <c r="Q43" s="9" t="s">
        <v>138</v>
      </c>
      <c r="R43" s="9">
        <v>2.3940000000000001</v>
      </c>
      <c r="S43" s="9">
        <v>2.4980000000000002</v>
      </c>
      <c r="T43" s="9">
        <v>2.5760000000000001</v>
      </c>
    </row>
    <row r="44" spans="4:20" x14ac:dyDescent="0.25">
      <c r="F44" t="s">
        <v>152</v>
      </c>
      <c r="Q44" s="9" t="s">
        <v>139</v>
      </c>
      <c r="R44" s="9">
        <v>2.1280000000000001</v>
      </c>
      <c r="S44" s="9">
        <v>2.2410000000000001</v>
      </c>
      <c r="T44" s="9">
        <v>2.3260000000000001</v>
      </c>
    </row>
    <row r="46" spans="4:20" x14ac:dyDescent="0.25">
      <c r="G46" s="4"/>
    </row>
    <row r="48" spans="4:20" x14ac:dyDescent="0.25">
      <c r="F48" s="15" t="s">
        <v>156</v>
      </c>
      <c r="N48" s="15" t="s">
        <v>156</v>
      </c>
    </row>
    <row r="50" spans="4:24" x14ac:dyDescent="0.25">
      <c r="D50" t="s">
        <v>143</v>
      </c>
      <c r="F50" s="74" t="s">
        <v>137</v>
      </c>
      <c r="G50" s="3">
        <f>SQRT((E16*(E16+1))/(6*E15))*(R43)</f>
        <v>1.6520169490655963</v>
      </c>
      <c r="L50" t="s">
        <v>143</v>
      </c>
      <c r="N50" s="74" t="s">
        <v>137</v>
      </c>
      <c r="O50" s="3">
        <f>SQRT((M16*(M16+1))/(6*M15))*R43</f>
        <v>1.9546928147409763</v>
      </c>
    </row>
    <row r="52" spans="4:24" x14ac:dyDescent="0.25">
      <c r="D52" t="s">
        <v>144</v>
      </c>
      <c r="F52" t="s">
        <v>151</v>
      </c>
      <c r="L52" t="s">
        <v>144</v>
      </c>
      <c r="N52" t="s">
        <v>151</v>
      </c>
    </row>
    <row r="54" spans="4:24" x14ac:dyDescent="0.25">
      <c r="D54" t="s">
        <v>146</v>
      </c>
      <c r="F54" t="s">
        <v>148</v>
      </c>
      <c r="L54" t="s">
        <v>146</v>
      </c>
      <c r="N54" t="s">
        <v>148</v>
      </c>
    </row>
    <row r="56" spans="4:24" x14ac:dyDescent="0.25">
      <c r="D56" s="16"/>
      <c r="E56" s="16"/>
      <c r="F56" s="16"/>
      <c r="G56" s="16"/>
    </row>
    <row r="57" spans="4:24" x14ac:dyDescent="0.25">
      <c r="D57" s="10"/>
      <c r="E57" s="10"/>
      <c r="F57" s="10"/>
      <c r="G57" s="10"/>
      <c r="H57" s="10"/>
      <c r="K57" s="1"/>
      <c r="L57" s="1"/>
      <c r="M57" s="1"/>
      <c r="N57" s="1"/>
    </row>
    <row r="58" spans="4:24" x14ac:dyDescent="0.25">
      <c r="D58" s="1"/>
      <c r="E58" s="82"/>
      <c r="F58" s="10"/>
      <c r="G58" s="10"/>
      <c r="H58" s="10"/>
      <c r="K58" s="79"/>
      <c r="L58" s="80"/>
      <c r="M58" s="80"/>
      <c r="N58" s="79"/>
    </row>
    <row r="59" spans="4:24" x14ac:dyDescent="0.25">
      <c r="D59" s="1"/>
      <c r="E59" s="53"/>
      <c r="F59" s="10"/>
      <c r="G59" s="10"/>
      <c r="H59" s="10"/>
      <c r="K59" s="16" t="s">
        <v>165</v>
      </c>
      <c r="S59" s="16" t="s">
        <v>162</v>
      </c>
    </row>
    <row r="60" spans="4:24" x14ac:dyDescent="0.25">
      <c r="D60" s="1"/>
      <c r="E60" s="53"/>
      <c r="F60" s="10"/>
      <c r="G60" s="10"/>
      <c r="H60" s="10"/>
    </row>
    <row r="61" spans="4:24" x14ac:dyDescent="0.25">
      <c r="D61" s="10"/>
      <c r="E61" s="10"/>
      <c r="F61" s="10"/>
      <c r="G61" s="10"/>
      <c r="H61" s="10"/>
      <c r="K61" s="90" t="s">
        <v>192</v>
      </c>
      <c r="L61" s="90" t="s">
        <v>184</v>
      </c>
      <c r="M61" s="90" t="s">
        <v>191</v>
      </c>
      <c r="N61" s="94" t="s">
        <v>190</v>
      </c>
      <c r="O61" s="121"/>
      <c r="P61" s="29"/>
      <c r="S61" s="90" t="s">
        <v>192</v>
      </c>
      <c r="T61" s="90" t="s">
        <v>184</v>
      </c>
      <c r="U61" s="90" t="s">
        <v>191</v>
      </c>
      <c r="V61" s="94" t="s">
        <v>190</v>
      </c>
      <c r="W61" s="121"/>
      <c r="X61" s="29"/>
    </row>
    <row r="62" spans="4:24" x14ac:dyDescent="0.25">
      <c r="K62" s="123">
        <f>E12</f>
        <v>2.9285714285714284</v>
      </c>
      <c r="L62" s="123">
        <f t="shared" ref="L62:N62" si="2">F12</f>
        <v>3.2142857142857144</v>
      </c>
      <c r="M62" s="123">
        <f t="shared" si="2"/>
        <v>1.6428571428571428</v>
      </c>
      <c r="N62" s="123">
        <f t="shared" si="2"/>
        <v>2.2142857142857144</v>
      </c>
      <c r="O62" s="123"/>
      <c r="P62" s="123"/>
      <c r="S62" s="123">
        <f>M14</f>
        <v>1.4</v>
      </c>
      <c r="T62" s="123">
        <f t="shared" ref="T62:W62" si="3">N14</f>
        <v>1.6</v>
      </c>
      <c r="U62" s="123">
        <f t="shared" si="3"/>
        <v>3.5</v>
      </c>
      <c r="V62" s="123">
        <f t="shared" si="3"/>
        <v>3.5</v>
      </c>
      <c r="W62" s="123">
        <f t="shared" si="3"/>
        <v>0</v>
      </c>
      <c r="X62" s="13"/>
    </row>
    <row r="63" spans="4:24" x14ac:dyDescent="0.25">
      <c r="M63" s="13" t="s">
        <v>166</v>
      </c>
      <c r="N63" t="s">
        <v>137</v>
      </c>
      <c r="U63" s="13" t="s">
        <v>166</v>
      </c>
      <c r="V63" t="s">
        <v>137</v>
      </c>
    </row>
    <row r="64" spans="4:24" x14ac:dyDescent="0.25">
      <c r="J64" t="s">
        <v>168</v>
      </c>
      <c r="K64" s="121" t="s">
        <v>211</v>
      </c>
      <c r="L64" s="121"/>
      <c r="M64" s="93">
        <f>L62-K62</f>
        <v>0.28571428571428603</v>
      </c>
      <c r="N64" s="126">
        <f>G50</f>
        <v>1.6520169490655963</v>
      </c>
      <c r="O64" s="81"/>
      <c r="P64" s="81" t="str">
        <f>IF(M64&gt;N64,"better","not")</f>
        <v>not</v>
      </c>
      <c r="S64" s="121" t="s">
        <v>211</v>
      </c>
      <c r="T64" s="121"/>
      <c r="U64" s="93">
        <f>T62-S62</f>
        <v>0.20000000000000018</v>
      </c>
      <c r="V64" s="126">
        <f>O50</f>
        <v>1.9546928147409763</v>
      </c>
      <c r="W64" s="81"/>
      <c r="X64" s="81" t="str">
        <f>IF(U64&gt;V64,"better","not")</f>
        <v>not</v>
      </c>
    </row>
    <row r="65" spans="8:24" x14ac:dyDescent="0.25">
      <c r="J65" t="s">
        <v>118</v>
      </c>
      <c r="K65" s="124" t="s">
        <v>212</v>
      </c>
      <c r="L65" s="124"/>
      <c r="M65" s="93">
        <f>M62-K62</f>
        <v>-1.2857142857142856</v>
      </c>
      <c r="N65" s="7">
        <f>N64</f>
        <v>1.6520169490655963</v>
      </c>
      <c r="O65" s="6"/>
      <c r="P65" s="6" t="str">
        <f t="shared" ref="P65:P75" si="4">IF(M65&gt;N65,"better","not")</f>
        <v>not</v>
      </c>
      <c r="S65" s="124" t="s">
        <v>212</v>
      </c>
      <c r="T65" s="121"/>
      <c r="U65" s="93">
        <f>U62-S62</f>
        <v>2.1</v>
      </c>
      <c r="V65" s="126">
        <f>V64</f>
        <v>1.9546928147409763</v>
      </c>
      <c r="W65" s="81"/>
      <c r="X65" s="81" t="str">
        <f t="shared" ref="X65:X75" si="5">IF(U65&gt;V65,"better","not")</f>
        <v>better</v>
      </c>
    </row>
    <row r="66" spans="8:24" x14ac:dyDescent="0.25">
      <c r="K66" s="121" t="s">
        <v>213</v>
      </c>
      <c r="L66" s="86"/>
      <c r="M66" s="93">
        <f>N62-K62</f>
        <v>-0.71428571428571397</v>
      </c>
      <c r="N66" s="126">
        <f t="shared" ref="N66:N75" si="6">N65</f>
        <v>1.6520169490655963</v>
      </c>
      <c r="O66" s="81"/>
      <c r="P66" s="81" t="str">
        <f t="shared" si="4"/>
        <v>not</v>
      </c>
      <c r="S66" s="121" t="s">
        <v>213</v>
      </c>
      <c r="T66" s="86"/>
      <c r="U66" s="93">
        <f>V62-S62</f>
        <v>2.1</v>
      </c>
      <c r="V66" s="126">
        <f t="shared" ref="V66:V75" si="7">V65</f>
        <v>1.9546928147409763</v>
      </c>
      <c r="W66" s="81"/>
      <c r="X66" s="81" t="str">
        <f t="shared" si="5"/>
        <v>better</v>
      </c>
    </row>
    <row r="67" spans="8:24" x14ac:dyDescent="0.25">
      <c r="K67" s="121"/>
      <c r="L67" s="121"/>
      <c r="M67" s="93"/>
      <c r="N67" s="126"/>
      <c r="O67" s="81"/>
      <c r="P67" s="81"/>
      <c r="S67" s="121"/>
      <c r="T67" s="124"/>
      <c r="U67" s="93"/>
      <c r="V67" s="126"/>
      <c r="W67" s="81"/>
      <c r="X67" s="81"/>
    </row>
    <row r="68" spans="8:24" x14ac:dyDescent="0.25">
      <c r="K68" s="124"/>
      <c r="L68" s="124"/>
      <c r="M68" s="8"/>
      <c r="N68" s="7"/>
      <c r="O68" s="6"/>
      <c r="P68" s="6"/>
      <c r="S68" s="124"/>
      <c r="T68" s="124"/>
      <c r="U68" s="4"/>
      <c r="V68" s="3"/>
    </row>
    <row r="69" spans="8:24" x14ac:dyDescent="0.25">
      <c r="K69" s="121"/>
      <c r="L69" s="86"/>
      <c r="M69" s="93"/>
      <c r="N69" s="126"/>
      <c r="O69" s="81"/>
      <c r="P69" s="81"/>
      <c r="S69" s="121"/>
      <c r="T69" s="125"/>
      <c r="U69" s="4"/>
      <c r="V69" s="3"/>
    </row>
    <row r="70" spans="8:24" x14ac:dyDescent="0.25">
      <c r="H70" s="3"/>
      <c r="K70" s="121"/>
      <c r="L70" s="121"/>
      <c r="M70" s="93"/>
      <c r="N70" s="126"/>
      <c r="O70" s="81"/>
      <c r="P70" s="81"/>
      <c r="S70" s="121"/>
      <c r="T70" s="124"/>
      <c r="U70" s="8"/>
      <c r="V70" s="7"/>
      <c r="W70" s="6"/>
      <c r="X70" s="6"/>
    </row>
    <row r="71" spans="8:24" x14ac:dyDescent="0.25">
      <c r="H71" s="3"/>
      <c r="K71" s="121"/>
      <c r="L71" s="121"/>
      <c r="M71" s="93"/>
      <c r="N71" s="126"/>
      <c r="O71" s="81"/>
      <c r="P71" s="81"/>
      <c r="S71" s="121"/>
      <c r="T71" s="121"/>
      <c r="U71" s="4"/>
      <c r="V71" s="3"/>
    </row>
    <row r="72" spans="8:24" x14ac:dyDescent="0.25">
      <c r="H72" s="3"/>
      <c r="K72" s="121"/>
      <c r="L72" s="86"/>
      <c r="M72" s="93"/>
      <c r="N72" s="126"/>
      <c r="O72" s="81"/>
      <c r="P72" s="81"/>
      <c r="S72" s="121"/>
      <c r="T72" s="125"/>
      <c r="U72" s="8"/>
      <c r="V72" s="7"/>
      <c r="W72" s="6"/>
      <c r="X72" s="6"/>
    </row>
    <row r="73" spans="8:24" x14ac:dyDescent="0.25">
      <c r="H73" s="3"/>
      <c r="K73" s="86"/>
      <c r="L73" s="121"/>
      <c r="M73" s="93"/>
      <c r="N73" s="126"/>
      <c r="O73" s="81"/>
      <c r="P73" s="81"/>
      <c r="S73" s="86"/>
      <c r="T73" s="121"/>
      <c r="U73" s="4"/>
      <c r="V73" s="3"/>
    </row>
    <row r="74" spans="8:24" x14ac:dyDescent="0.25">
      <c r="H74" s="3"/>
      <c r="K74" s="86"/>
      <c r="L74" s="121"/>
      <c r="M74" s="93"/>
      <c r="N74" s="126"/>
      <c r="O74" s="81"/>
      <c r="P74" s="81"/>
      <c r="S74" s="86"/>
      <c r="T74" s="121"/>
      <c r="U74" s="4"/>
      <c r="V74" s="3"/>
    </row>
    <row r="75" spans="8:24" x14ac:dyDescent="0.25">
      <c r="H75" s="3"/>
      <c r="K75" s="86"/>
      <c r="L75" s="121"/>
      <c r="M75" s="93"/>
      <c r="N75" s="126"/>
      <c r="O75" s="81"/>
      <c r="P75" s="81"/>
      <c r="S75" s="86"/>
      <c r="T75" s="124"/>
      <c r="U75" s="8"/>
      <c r="V75" s="7"/>
      <c r="W75" s="6"/>
      <c r="X75" s="6"/>
    </row>
    <row r="76" spans="8:24" x14ac:dyDescent="0.25">
      <c r="H76" s="3"/>
    </row>
    <row r="77" spans="8:24" x14ac:dyDescent="0.25">
      <c r="H77" s="21"/>
      <c r="I77" s="21"/>
      <c r="M77" t="s">
        <v>36</v>
      </c>
      <c r="N77" s="3">
        <f>SQRT((E16*(E16+1))/(6*E15))</f>
        <v>0.69006555934235425</v>
      </c>
      <c r="S77" t="s">
        <v>36</v>
      </c>
      <c r="T77" s="3">
        <f>SQRT((M16*(M16+1))/(6*M15))</f>
        <v>0.81649658092772603</v>
      </c>
    </row>
    <row r="78" spans="8:24" x14ac:dyDescent="0.25">
      <c r="H78" s="2"/>
      <c r="J78" s="3"/>
      <c r="O78" t="s">
        <v>46</v>
      </c>
      <c r="P78" t="s">
        <v>23</v>
      </c>
      <c r="Q78" t="s">
        <v>45</v>
      </c>
      <c r="U78" t="s">
        <v>46</v>
      </c>
      <c r="V78" t="s">
        <v>23</v>
      </c>
      <c r="W78" t="s">
        <v>45</v>
      </c>
    </row>
    <row r="79" spans="8:24" x14ac:dyDescent="0.25">
      <c r="H79" s="2"/>
      <c r="J79" s="3"/>
      <c r="L79">
        <v>1</v>
      </c>
      <c r="M79" s="13" t="s">
        <v>67</v>
      </c>
      <c r="N79">
        <f>M64</f>
        <v>0.28571428571428603</v>
      </c>
      <c r="O79" s="3">
        <f>N79/N$77</f>
        <v>0.41403933560541295</v>
      </c>
      <c r="P79" s="3">
        <f>(_xlfn.NORM.S.DIST(-1*O79,TRUE))*2</f>
        <v>0.67884529942431793</v>
      </c>
      <c r="Q79" s="3">
        <f>0.05/($E$16-L79)</f>
        <v>1.6666666666666666E-2</v>
      </c>
      <c r="S79" s="17" t="s">
        <v>67</v>
      </c>
      <c r="T79" s="6">
        <f>U64</f>
        <v>0.20000000000000018</v>
      </c>
      <c r="U79" s="7">
        <f>T79/T$77</f>
        <v>0.24494897427831802</v>
      </c>
      <c r="V79" s="6">
        <f>(_xlfn.NORM.S.DIST(-1*U79,TRUE))*2</f>
        <v>0.80649594050733986</v>
      </c>
      <c r="W79" s="3">
        <f>0.05/(L79)</f>
        <v>0.05</v>
      </c>
    </row>
    <row r="80" spans="8:24" x14ac:dyDescent="0.25">
      <c r="H80" s="2"/>
      <c r="L80">
        <v>2</v>
      </c>
      <c r="M80" s="17" t="s">
        <v>118</v>
      </c>
      <c r="N80" s="6">
        <f>M65</f>
        <v>-1.2857142857142856</v>
      </c>
      <c r="O80" s="7">
        <f t="shared" ref="O80:O83" si="8">N80/N$77</f>
        <v>-1.8631770102243561</v>
      </c>
      <c r="P80" s="7">
        <f t="shared" ref="P80:P83" si="9">(_xlfn.NORM.S.DIST(-1*O80,TRUE))*2</f>
        <v>1.9375626337445275</v>
      </c>
      <c r="Q80" s="3">
        <f t="shared" ref="Q80:Q83" si="10">0.05/($E$16-L80)</f>
        <v>2.5000000000000001E-2</v>
      </c>
      <c r="S80" s="13" t="s">
        <v>118</v>
      </c>
      <c r="T80">
        <f>U65</f>
        <v>2.1</v>
      </c>
      <c r="U80" s="3">
        <f t="shared" ref="U80:U83" si="11">T80/T$77</f>
        <v>2.5719642299223371</v>
      </c>
      <c r="V80">
        <f t="shared" ref="V80:V83" si="12">(_xlfn.NORM.S.DIST(-1*U80,TRUE))*2</f>
        <v>1.0112333921333462E-2</v>
      </c>
      <c r="W80" s="3">
        <f t="shared" ref="W80:W83" si="13">0.05/(L80)</f>
        <v>2.5000000000000001E-2</v>
      </c>
    </row>
    <row r="81" spans="8:23" x14ac:dyDescent="0.25">
      <c r="H81" s="13"/>
      <c r="I81" s="13"/>
      <c r="L81">
        <v>3</v>
      </c>
      <c r="M81" s="13" t="s">
        <v>164</v>
      </c>
      <c r="N81">
        <f>M66</f>
        <v>-0.71428571428571397</v>
      </c>
      <c r="O81" s="3">
        <f t="shared" si="8"/>
        <v>-1.0350983390135309</v>
      </c>
      <c r="P81" s="3">
        <f t="shared" si="9"/>
        <v>1.6993770118030931</v>
      </c>
      <c r="Q81" s="3">
        <f t="shared" si="10"/>
        <v>0.05</v>
      </c>
      <c r="S81" s="13" t="s">
        <v>164</v>
      </c>
      <c r="T81">
        <f>U66</f>
        <v>2.1</v>
      </c>
      <c r="U81" s="3">
        <f t="shared" si="11"/>
        <v>2.5719642299223371</v>
      </c>
      <c r="V81">
        <f t="shared" si="12"/>
        <v>1.0112333921333462E-2</v>
      </c>
      <c r="W81" s="3">
        <f t="shared" si="13"/>
        <v>1.6666666666666666E-2</v>
      </c>
    </row>
    <row r="82" spans="8:23" x14ac:dyDescent="0.25">
      <c r="H82" s="2"/>
      <c r="L82">
        <v>4</v>
      </c>
      <c r="M82" s="13" t="s">
        <v>65</v>
      </c>
      <c r="N82" s="3">
        <f>M67</f>
        <v>0</v>
      </c>
      <c r="O82" s="3">
        <f t="shared" si="8"/>
        <v>0</v>
      </c>
      <c r="P82" s="3">
        <f t="shared" si="9"/>
        <v>1</v>
      </c>
      <c r="Q82" s="3" t="e">
        <f t="shared" si="10"/>
        <v>#DIV/0!</v>
      </c>
      <c r="S82" s="17" t="s">
        <v>65</v>
      </c>
      <c r="T82" s="6">
        <f>U67</f>
        <v>0</v>
      </c>
      <c r="U82" s="7">
        <f t="shared" si="11"/>
        <v>0</v>
      </c>
      <c r="V82" s="6">
        <f t="shared" si="12"/>
        <v>1</v>
      </c>
      <c r="W82" s="3">
        <f t="shared" si="13"/>
        <v>1.2500000000000001E-2</v>
      </c>
    </row>
    <row r="83" spans="8:23" x14ac:dyDescent="0.25">
      <c r="H83" s="2"/>
      <c r="L83">
        <v>5</v>
      </c>
      <c r="M83" s="13" t="s">
        <v>167</v>
      </c>
      <c r="N83" s="3">
        <f>M68</f>
        <v>0</v>
      </c>
      <c r="O83" s="3">
        <f t="shared" si="8"/>
        <v>0</v>
      </c>
      <c r="P83" s="3">
        <f t="shared" si="9"/>
        <v>1</v>
      </c>
      <c r="Q83" s="3">
        <f t="shared" si="10"/>
        <v>-0.05</v>
      </c>
      <c r="S83" s="13" t="s">
        <v>167</v>
      </c>
      <c r="T83">
        <f>U68</f>
        <v>0</v>
      </c>
      <c r="U83" s="3">
        <f t="shared" si="11"/>
        <v>0</v>
      </c>
      <c r="V83">
        <f t="shared" si="12"/>
        <v>1</v>
      </c>
      <c r="W83" s="3">
        <f t="shared" si="13"/>
        <v>0.01</v>
      </c>
    </row>
    <row r="84" spans="8:23" x14ac:dyDescent="0.25">
      <c r="H84" s="2"/>
    </row>
  </sheetData>
  <mergeCells count="2">
    <mergeCell ref="D2:I2"/>
    <mergeCell ref="L2:Q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8"/>
  <sheetViews>
    <sheetView topLeftCell="B1" zoomScale="70" zoomScaleNormal="70" workbookViewId="0">
      <selection activeCell="K18" sqref="F14:K18"/>
    </sheetView>
  </sheetViews>
  <sheetFormatPr defaultRowHeight="15" x14ac:dyDescent="0.25"/>
  <cols>
    <col min="1" max="1" width="12.42578125" bestFit="1" customWidth="1"/>
    <col min="4" max="4" width="34.28515625" bestFit="1" customWidth="1"/>
    <col min="5" max="5" width="24.140625" bestFit="1" customWidth="1"/>
    <col min="6" max="6" width="24.5703125" bestFit="1" customWidth="1"/>
    <col min="7" max="8" width="24.5703125" customWidth="1"/>
    <col min="9" max="9" width="15.85546875" customWidth="1"/>
    <col min="10" max="11" width="21.5703125" bestFit="1" customWidth="1"/>
    <col min="12" max="12" width="18.5703125" bestFit="1" customWidth="1"/>
    <col min="13" max="13" width="18.5703125" customWidth="1"/>
    <col min="14" max="14" width="18.5703125" bestFit="1" customWidth="1"/>
    <col min="15" max="15" width="20.140625" bestFit="1" customWidth="1"/>
    <col min="16" max="16" width="16.28515625" bestFit="1" customWidth="1"/>
    <col min="17" max="17" width="18.7109375" customWidth="1"/>
    <col min="18" max="19" width="16.85546875" bestFit="1" customWidth="1"/>
    <col min="20" max="20" width="16.28515625" bestFit="1" customWidth="1"/>
    <col min="21" max="21" width="15.140625" bestFit="1" customWidth="1"/>
  </cols>
  <sheetData>
    <row r="1" spans="1:26" x14ac:dyDescent="0.25">
      <c r="D1" t="s">
        <v>71</v>
      </c>
      <c r="E1" t="s">
        <v>72</v>
      </c>
      <c r="F1" t="s">
        <v>180</v>
      </c>
      <c r="I1" t="s">
        <v>74</v>
      </c>
    </row>
    <row r="2" spans="1:26" ht="62.25" customHeight="1" x14ac:dyDescent="0.25">
      <c r="D2" s="16" t="s">
        <v>66</v>
      </c>
      <c r="K2" s="87"/>
      <c r="L2" s="87"/>
      <c r="M2" s="87"/>
      <c r="N2" s="87"/>
      <c r="O2" s="10"/>
      <c r="Q2" s="13" t="s">
        <v>161</v>
      </c>
    </row>
    <row r="3" spans="1:26" ht="15" customHeight="1" x14ac:dyDescent="0.25">
      <c r="B3" t="s">
        <v>161</v>
      </c>
      <c r="C3" s="9"/>
      <c r="D3" s="11" t="s">
        <v>69</v>
      </c>
      <c r="E3" s="89"/>
      <c r="F3" s="102" t="s">
        <v>188</v>
      </c>
      <c r="G3" s="102" t="s">
        <v>18</v>
      </c>
      <c r="H3" s="102" t="s">
        <v>189</v>
      </c>
      <c r="I3" s="102" t="s">
        <v>57</v>
      </c>
      <c r="J3" s="102" t="s">
        <v>65</v>
      </c>
      <c r="K3" s="86" t="s">
        <v>185</v>
      </c>
      <c r="L3" s="10"/>
      <c r="M3" s="27"/>
      <c r="N3" s="27"/>
      <c r="O3" s="10"/>
      <c r="P3" s="103" t="s">
        <v>67</v>
      </c>
      <c r="Q3" s="102" t="s">
        <v>56</v>
      </c>
      <c r="R3" s="29" t="s">
        <v>85</v>
      </c>
      <c r="S3" s="64"/>
    </row>
    <row r="4" spans="1:26" x14ac:dyDescent="0.25">
      <c r="A4" t="s">
        <v>177</v>
      </c>
      <c r="B4">
        <v>0</v>
      </c>
      <c r="C4" s="9">
        <v>1</v>
      </c>
      <c r="D4" s="19" t="s">
        <v>48</v>
      </c>
      <c r="E4" s="19" t="s">
        <v>48</v>
      </c>
      <c r="F4" s="15">
        <v>73.28</v>
      </c>
      <c r="G4" s="37">
        <f>HDWM!F4</f>
        <v>72.47</v>
      </c>
      <c r="H4" s="37">
        <v>89.67</v>
      </c>
      <c r="I4" s="30">
        <f>HDWM!G4</f>
        <v>85.1</v>
      </c>
      <c r="J4" s="119">
        <f>HDWM!H4</f>
        <v>89.789999999999992</v>
      </c>
      <c r="K4" s="96">
        <f>'HDWM-Family'!H4</f>
        <v>91.7</v>
      </c>
      <c r="L4" s="85"/>
      <c r="M4" s="104"/>
      <c r="N4" s="85"/>
      <c r="O4" s="85"/>
      <c r="V4" s="4"/>
      <c r="W4" s="4"/>
      <c r="X4" s="4"/>
    </row>
    <row r="5" spans="1:26" x14ac:dyDescent="0.25">
      <c r="A5" t="s">
        <v>178</v>
      </c>
      <c r="B5">
        <v>0</v>
      </c>
      <c r="C5" s="9">
        <v>2</v>
      </c>
      <c r="D5" s="19" t="s">
        <v>49</v>
      </c>
      <c r="E5" s="19" t="s">
        <v>49</v>
      </c>
      <c r="F5" s="37">
        <v>72.73</v>
      </c>
      <c r="G5" s="37">
        <f>HDWM!F5</f>
        <v>72.474999999999994</v>
      </c>
      <c r="H5" s="37">
        <v>85.65</v>
      </c>
      <c r="I5" s="30">
        <f>HDWM!G5</f>
        <v>87.43</v>
      </c>
      <c r="J5" s="119">
        <f>HDWM!H5</f>
        <v>85.69</v>
      </c>
      <c r="K5" s="96">
        <f>'HDWM-Family'!H5</f>
        <v>91.23</v>
      </c>
      <c r="L5" s="85"/>
      <c r="M5" s="104"/>
      <c r="N5" s="85"/>
      <c r="O5" s="85"/>
      <c r="V5" s="4"/>
      <c r="W5" s="4"/>
      <c r="X5" s="4"/>
    </row>
    <row r="6" spans="1:26" x14ac:dyDescent="0.25">
      <c r="A6" t="s">
        <v>179</v>
      </c>
      <c r="B6">
        <v>0</v>
      </c>
      <c r="C6" s="9">
        <v>3</v>
      </c>
      <c r="D6" s="75" t="s">
        <v>173</v>
      </c>
      <c r="E6" s="75" t="s">
        <v>173</v>
      </c>
      <c r="F6" s="37">
        <v>80.27</v>
      </c>
      <c r="G6" s="37">
        <f>HDWM!F6</f>
        <v>80.33</v>
      </c>
      <c r="H6" s="37">
        <v>81.3</v>
      </c>
      <c r="I6" s="30">
        <f>HDWM!G6</f>
        <v>81.41</v>
      </c>
      <c r="J6" s="119">
        <f>HDWM!H6</f>
        <v>81.45</v>
      </c>
      <c r="K6" s="96">
        <f>'HDWM-Family'!H6</f>
        <v>81.180000000000007</v>
      </c>
      <c r="L6" s="88" t="s">
        <v>24</v>
      </c>
      <c r="M6" s="49">
        <v>7</v>
      </c>
      <c r="N6" s="53"/>
      <c r="O6" s="10"/>
      <c r="T6" s="2"/>
      <c r="U6" s="4"/>
      <c r="V6" s="4"/>
      <c r="W6" s="4"/>
      <c r="X6" s="4"/>
    </row>
    <row r="7" spans="1:26" x14ac:dyDescent="0.25">
      <c r="B7">
        <v>0</v>
      </c>
      <c r="C7" s="9">
        <v>4</v>
      </c>
      <c r="D7" s="19" t="s">
        <v>51</v>
      </c>
      <c r="E7" s="19" t="s">
        <v>51</v>
      </c>
      <c r="F7" s="37">
        <v>73.680000000000007</v>
      </c>
      <c r="G7" s="37">
        <f>HDWM!F7</f>
        <v>72.399999999999991</v>
      </c>
      <c r="H7" s="37">
        <v>73.58</v>
      </c>
      <c r="I7" s="30">
        <f>HDWM!G7</f>
        <v>71.199999999999974</v>
      </c>
      <c r="J7" s="119">
        <f>HDWM!H7</f>
        <v>73.72499999999998</v>
      </c>
      <c r="K7" s="96">
        <f>'HDWM-Family'!H7</f>
        <v>73.510000000000005</v>
      </c>
      <c r="L7" s="16" t="s">
        <v>63</v>
      </c>
      <c r="M7" s="49">
        <v>4</v>
      </c>
      <c r="N7" s="106"/>
      <c r="O7" s="10"/>
      <c r="T7" s="14"/>
      <c r="U7" s="4"/>
      <c r="V7" s="4"/>
      <c r="W7" s="4"/>
      <c r="X7" s="4"/>
      <c r="Z7" s="2"/>
    </row>
    <row r="8" spans="1:26" x14ac:dyDescent="0.25">
      <c r="B8">
        <v>0</v>
      </c>
      <c r="C8" s="9">
        <v>5</v>
      </c>
      <c r="D8" s="19" t="s">
        <v>52</v>
      </c>
      <c r="E8" s="19" t="s">
        <v>52</v>
      </c>
      <c r="F8" s="37">
        <v>93.8</v>
      </c>
      <c r="G8" s="37">
        <f>HDWM!F8</f>
        <v>92.989999999999981</v>
      </c>
      <c r="H8" s="37">
        <v>88.71</v>
      </c>
      <c r="I8" s="30">
        <f>HDWM!G8</f>
        <v>84.87</v>
      </c>
      <c r="J8" s="119">
        <f>HDWM!H8</f>
        <v>93.784999999999968</v>
      </c>
      <c r="K8" s="96">
        <f>'HDWM-Family'!H8</f>
        <v>93.8</v>
      </c>
      <c r="L8" s="10"/>
      <c r="M8" s="107"/>
      <c r="N8" s="85"/>
      <c r="O8" s="10"/>
      <c r="T8" s="4"/>
      <c r="U8" s="4"/>
      <c r="V8" s="4"/>
      <c r="W8" s="4"/>
      <c r="X8" s="4"/>
    </row>
    <row r="9" spans="1:26" x14ac:dyDescent="0.25">
      <c r="B9">
        <v>0</v>
      </c>
      <c r="C9" s="9">
        <v>6</v>
      </c>
      <c r="D9" s="19" t="s">
        <v>53</v>
      </c>
      <c r="E9" s="19" t="s">
        <v>53</v>
      </c>
      <c r="F9" s="37">
        <v>88.07</v>
      </c>
      <c r="G9" s="37">
        <f>HDWM!F9</f>
        <v>87.954999999999998</v>
      </c>
      <c r="H9" s="37">
        <v>88.19</v>
      </c>
      <c r="I9" s="30">
        <f>HDWM!G9</f>
        <v>87.6</v>
      </c>
      <c r="J9" s="119">
        <f>HDWM!H9</f>
        <v>88.684999999999988</v>
      </c>
      <c r="K9" s="96">
        <f>'HDWM-Family'!H9</f>
        <v>88.54</v>
      </c>
      <c r="L9" s="10"/>
      <c r="M9" s="105"/>
      <c r="N9" s="85"/>
      <c r="O9" s="10"/>
      <c r="T9" s="4"/>
      <c r="U9" s="4"/>
      <c r="V9" s="4"/>
      <c r="W9" s="4"/>
      <c r="X9" s="4"/>
    </row>
    <row r="10" spans="1:26" x14ac:dyDescent="0.25">
      <c r="B10">
        <v>0</v>
      </c>
      <c r="C10" s="9">
        <v>7</v>
      </c>
      <c r="D10" s="19" t="s">
        <v>55</v>
      </c>
      <c r="E10" s="19" t="s">
        <v>55</v>
      </c>
      <c r="F10" s="37">
        <v>88.06</v>
      </c>
      <c r="G10" s="37">
        <f>HDWM!F10</f>
        <v>86.424999999999997</v>
      </c>
      <c r="H10" s="37">
        <v>94.49</v>
      </c>
      <c r="I10" s="30">
        <f>HDWM!G10</f>
        <v>91.769999999999982</v>
      </c>
      <c r="J10" s="119">
        <f>HDWM!H10</f>
        <v>94.484999999999928</v>
      </c>
      <c r="K10" s="96">
        <f>'HDWM-Family'!H10</f>
        <v>94.59</v>
      </c>
      <c r="L10" s="10"/>
      <c r="M10" s="104"/>
      <c r="N10" s="85"/>
      <c r="O10" s="10"/>
      <c r="T10" s="4"/>
      <c r="U10" s="4"/>
      <c r="V10" s="4"/>
      <c r="W10" s="4"/>
      <c r="X10" s="4"/>
    </row>
    <row r="11" spans="1:26" x14ac:dyDescent="0.25">
      <c r="C11" s="9"/>
      <c r="D11" s="9" t="s">
        <v>87</v>
      </c>
      <c r="E11" s="91"/>
      <c r="F11" s="97">
        <f>AVERAGE(F5:F10)</f>
        <v>82.768333333333331</v>
      </c>
      <c r="G11" s="97">
        <f>AVERAGE(G4:G10)</f>
        <v>80.72071428571428</v>
      </c>
      <c r="H11" s="97">
        <f t="shared" ref="H11:K11" si="0">AVERAGE(H4:H10)</f>
        <v>85.94142857142856</v>
      </c>
      <c r="I11" s="97">
        <f t="shared" si="0"/>
        <v>84.19714285714285</v>
      </c>
      <c r="J11" s="97">
        <f t="shared" si="0"/>
        <v>86.801428571428545</v>
      </c>
      <c r="K11" s="97">
        <f t="shared" si="0"/>
        <v>87.792857142857159</v>
      </c>
      <c r="L11" s="53"/>
      <c r="M11" s="105"/>
      <c r="N11" s="105"/>
      <c r="O11" s="10"/>
      <c r="P11" s="4"/>
      <c r="T11" s="4"/>
      <c r="U11" s="4"/>
      <c r="V11" s="4"/>
      <c r="W11" s="4"/>
      <c r="X11" s="4"/>
    </row>
    <row r="12" spans="1:26" x14ac:dyDescent="0.25">
      <c r="E12" s="92"/>
      <c r="F12" s="92"/>
      <c r="G12" s="92"/>
      <c r="H12" s="92"/>
      <c r="I12" s="92"/>
      <c r="J12" s="39"/>
      <c r="K12" s="93"/>
      <c r="L12" s="10"/>
      <c r="M12" s="53"/>
      <c r="N12" s="10"/>
      <c r="O12" s="10"/>
      <c r="T12" s="4"/>
      <c r="U12" s="4"/>
      <c r="V12" s="4"/>
      <c r="W12" s="4"/>
      <c r="X12" s="4"/>
    </row>
    <row r="13" spans="1:26" ht="15" customHeight="1" x14ac:dyDescent="0.25">
      <c r="C13" s="9"/>
      <c r="D13" s="11" t="s">
        <v>69</v>
      </c>
      <c r="E13" s="89"/>
      <c r="F13" s="102" t="s">
        <v>188</v>
      </c>
      <c r="G13" s="102" t="s">
        <v>18</v>
      </c>
      <c r="H13" s="102" t="s">
        <v>189</v>
      </c>
      <c r="I13" s="102" t="s">
        <v>57</v>
      </c>
      <c r="J13" s="102" t="s">
        <v>65</v>
      </c>
      <c r="K13" s="86" t="s">
        <v>185</v>
      </c>
      <c r="L13" s="10"/>
      <c r="M13" s="27"/>
      <c r="N13" s="27"/>
      <c r="O13" s="10"/>
      <c r="R13" s="13"/>
      <c r="S13" s="13"/>
      <c r="T13" s="13"/>
      <c r="U13" s="26"/>
    </row>
    <row r="14" spans="1:26" x14ac:dyDescent="0.25">
      <c r="A14" t="s">
        <v>176</v>
      </c>
      <c r="C14" s="9">
        <v>1</v>
      </c>
      <c r="D14" s="88" t="s">
        <v>76</v>
      </c>
      <c r="E14" s="88" t="s">
        <v>76</v>
      </c>
      <c r="F14" s="99">
        <v>89.79</v>
      </c>
      <c r="G14" s="99">
        <v>91.24</v>
      </c>
      <c r="H14" s="16">
        <v>89.78</v>
      </c>
      <c r="I14" s="16">
        <v>90.28</v>
      </c>
      <c r="J14" s="99">
        <v>89.74</v>
      </c>
      <c r="K14" s="99">
        <f>'HDWM-Family'!H14</f>
        <v>89.76</v>
      </c>
      <c r="L14" s="108"/>
      <c r="M14" s="109"/>
      <c r="N14" s="53"/>
      <c r="O14" s="108"/>
      <c r="T14" s="4"/>
      <c r="U14" s="4"/>
      <c r="V14" s="4"/>
      <c r="W14" s="4"/>
      <c r="X14" s="4"/>
    </row>
    <row r="15" spans="1:26" x14ac:dyDescent="0.25">
      <c r="A15" t="s">
        <v>175</v>
      </c>
      <c r="C15" s="9">
        <v>2</v>
      </c>
      <c r="D15" s="88" t="s">
        <v>75</v>
      </c>
      <c r="E15" s="88" t="s">
        <v>75</v>
      </c>
      <c r="F15" s="30">
        <v>54.38</v>
      </c>
      <c r="G15" s="30">
        <v>86.2</v>
      </c>
      <c r="H15" s="30">
        <v>54.38</v>
      </c>
      <c r="I15" s="30">
        <v>86.12</v>
      </c>
      <c r="J15" s="30">
        <v>55.08</v>
      </c>
      <c r="K15" s="99">
        <f>'HDWM-Family'!H15</f>
        <v>81.23</v>
      </c>
      <c r="L15" s="110"/>
      <c r="M15" s="109"/>
      <c r="N15" s="53"/>
      <c r="O15" s="110"/>
      <c r="T15" s="4"/>
      <c r="U15" s="4"/>
      <c r="V15" s="4"/>
      <c r="W15" s="4"/>
      <c r="X15" s="4"/>
    </row>
    <row r="16" spans="1:26" x14ac:dyDescent="0.25">
      <c r="B16">
        <v>5</v>
      </c>
      <c r="C16" s="9">
        <v>3</v>
      </c>
      <c r="D16" s="88" t="s">
        <v>77</v>
      </c>
      <c r="E16" s="88" t="s">
        <v>77</v>
      </c>
      <c r="F16" s="30">
        <v>74.14</v>
      </c>
      <c r="G16" s="30">
        <v>86.67</v>
      </c>
      <c r="H16" s="30">
        <v>78.91</v>
      </c>
      <c r="I16" s="30">
        <v>88.03</v>
      </c>
      <c r="J16" s="30">
        <v>80.92</v>
      </c>
      <c r="K16" s="99">
        <f>'HDWM-Family'!H16</f>
        <v>87.87</v>
      </c>
      <c r="L16" s="110"/>
      <c r="M16" s="109"/>
      <c r="N16" s="53"/>
      <c r="O16" s="110"/>
      <c r="T16" s="4"/>
      <c r="U16" s="4"/>
      <c r="V16" s="4"/>
      <c r="W16" s="4"/>
      <c r="X16" s="4"/>
    </row>
    <row r="17" spans="2:24" x14ac:dyDescent="0.25">
      <c r="B17">
        <v>3</v>
      </c>
      <c r="C17" s="9">
        <v>4</v>
      </c>
      <c r="D17" s="95" t="s">
        <v>78</v>
      </c>
      <c r="E17" s="95" t="s">
        <v>78</v>
      </c>
      <c r="F17" s="30">
        <v>87.57</v>
      </c>
      <c r="G17" s="30">
        <v>88.7</v>
      </c>
      <c r="H17" s="30">
        <v>86.47</v>
      </c>
      <c r="I17" s="30">
        <v>92.81</v>
      </c>
      <c r="J17" s="30">
        <v>88</v>
      </c>
      <c r="K17" s="99">
        <f>'HDWM-Family'!H17</f>
        <v>88.42</v>
      </c>
      <c r="L17" s="88" t="s">
        <v>24</v>
      </c>
      <c r="M17" s="49">
        <v>9</v>
      </c>
      <c r="N17" s="53"/>
      <c r="O17" s="110"/>
      <c r="T17" s="4"/>
      <c r="U17" s="4"/>
      <c r="V17" s="4"/>
      <c r="W17" s="4"/>
      <c r="X17" s="4"/>
    </row>
    <row r="18" spans="2:24" x14ac:dyDescent="0.25">
      <c r="B18">
        <v>3</v>
      </c>
      <c r="C18" s="9">
        <v>5</v>
      </c>
      <c r="D18" s="88" t="s">
        <v>79</v>
      </c>
      <c r="E18" s="88" t="s">
        <v>79</v>
      </c>
      <c r="F18" s="30">
        <v>43.88</v>
      </c>
      <c r="G18" s="30">
        <v>77.5</v>
      </c>
      <c r="H18" s="30">
        <v>70.92</v>
      </c>
      <c r="I18" s="30">
        <v>90.08</v>
      </c>
      <c r="J18" s="30">
        <v>77.7</v>
      </c>
      <c r="K18" s="99">
        <f>'HDWM-Family'!H18</f>
        <v>87.25</v>
      </c>
      <c r="L18" s="16" t="s">
        <v>63</v>
      </c>
      <c r="M18" s="49">
        <v>4</v>
      </c>
      <c r="N18" s="53"/>
      <c r="O18" s="110"/>
      <c r="T18" s="4"/>
      <c r="U18" s="4"/>
      <c r="V18" s="4"/>
      <c r="W18" s="4"/>
      <c r="X18" s="4"/>
    </row>
    <row r="19" spans="2:24" ht="15.75" customHeight="1" x14ac:dyDescent="0.25">
      <c r="C19" s="9"/>
      <c r="D19" s="9" t="s">
        <v>86</v>
      </c>
      <c r="E19" s="91"/>
      <c r="F19" s="97">
        <f>AVERAGE(F14:F18)</f>
        <v>69.951999999999998</v>
      </c>
      <c r="G19" s="97"/>
      <c r="H19" s="97"/>
      <c r="I19" s="97">
        <f>AVERAGE(I14:I18)</f>
        <v>89.463999999999999</v>
      </c>
      <c r="J19" s="97">
        <f>AVERAGE(J14:J18)</f>
        <v>78.287999999999997</v>
      </c>
      <c r="K19" s="98">
        <f>AVERAGE(K14:K18)</f>
        <v>86.906000000000006</v>
      </c>
      <c r="L19" s="10"/>
      <c r="M19" s="111"/>
      <c r="N19" s="53"/>
      <c r="O19" s="10"/>
      <c r="P19" s="4"/>
    </row>
    <row r="20" spans="2:24" x14ac:dyDescent="0.25">
      <c r="D20" s="12" t="s">
        <v>70</v>
      </c>
      <c r="L20" s="10"/>
      <c r="M20" s="10"/>
      <c r="N20" s="10"/>
      <c r="O20" s="10"/>
    </row>
    <row r="21" spans="2:24" x14ac:dyDescent="0.25">
      <c r="D21" s="12" t="s">
        <v>73</v>
      </c>
      <c r="N21" s="6"/>
    </row>
    <row r="22" spans="2:24" x14ac:dyDescent="0.25">
      <c r="D22" s="54"/>
      <c r="N22" s="6"/>
    </row>
    <row r="23" spans="2:24" x14ac:dyDescent="0.25">
      <c r="C23" s="9">
        <v>1</v>
      </c>
      <c r="D23" s="19" t="s">
        <v>48</v>
      </c>
      <c r="E23" s="19" t="s">
        <v>48</v>
      </c>
      <c r="F23">
        <f>_xlfn.RANK.AVG(F4,$F4:$K4,0)</f>
        <v>5</v>
      </c>
      <c r="G23">
        <f t="shared" ref="G23:K23" si="1">_xlfn.RANK.AVG(G4,$F4:$K4,0)</f>
        <v>6</v>
      </c>
      <c r="H23">
        <f t="shared" si="1"/>
        <v>3</v>
      </c>
      <c r="I23">
        <f t="shared" si="1"/>
        <v>4</v>
      </c>
      <c r="J23">
        <f t="shared" si="1"/>
        <v>2</v>
      </c>
      <c r="K23">
        <f t="shared" si="1"/>
        <v>1</v>
      </c>
    </row>
    <row r="24" spans="2:24" x14ac:dyDescent="0.25">
      <c r="C24" s="9">
        <v>2</v>
      </c>
      <c r="D24" s="19" t="s">
        <v>49</v>
      </c>
      <c r="E24" s="19" t="s">
        <v>49</v>
      </c>
      <c r="F24">
        <f t="shared" ref="F24:K24" si="2">_xlfn.RANK.AVG(F5,$F5:$K5,0)</f>
        <v>5</v>
      </c>
      <c r="G24">
        <f t="shared" si="2"/>
        <v>6</v>
      </c>
      <c r="H24">
        <f t="shared" si="2"/>
        <v>4</v>
      </c>
      <c r="I24">
        <f t="shared" si="2"/>
        <v>2</v>
      </c>
      <c r="J24">
        <f t="shared" si="2"/>
        <v>3</v>
      </c>
      <c r="K24">
        <f t="shared" si="2"/>
        <v>1</v>
      </c>
    </row>
    <row r="25" spans="2:24" x14ac:dyDescent="0.25">
      <c r="C25" s="9">
        <v>3</v>
      </c>
      <c r="D25" s="75" t="s">
        <v>173</v>
      </c>
      <c r="E25" s="75" t="s">
        <v>173</v>
      </c>
      <c r="F25">
        <f t="shared" ref="F25:K25" si="3">_xlfn.RANK.AVG(F6,$F6:$K6,0)</f>
        <v>6</v>
      </c>
      <c r="G25">
        <f t="shared" si="3"/>
        <v>5</v>
      </c>
      <c r="H25">
        <f t="shared" si="3"/>
        <v>3</v>
      </c>
      <c r="I25">
        <f t="shared" si="3"/>
        <v>2</v>
      </c>
      <c r="J25">
        <f t="shared" si="3"/>
        <v>1</v>
      </c>
      <c r="K25">
        <f t="shared" si="3"/>
        <v>4</v>
      </c>
    </row>
    <row r="26" spans="2:24" x14ac:dyDescent="0.25">
      <c r="C26" s="9">
        <v>4</v>
      </c>
      <c r="D26" s="19" t="s">
        <v>51</v>
      </c>
      <c r="E26" s="19" t="s">
        <v>51</v>
      </c>
      <c r="F26">
        <f t="shared" ref="F26:K26" si="4">_xlfn.RANK.AVG(F7,$F7:$K7,0)</f>
        <v>2</v>
      </c>
      <c r="G26">
        <f t="shared" si="4"/>
        <v>5</v>
      </c>
      <c r="H26">
        <f t="shared" si="4"/>
        <v>3</v>
      </c>
      <c r="I26">
        <f t="shared" si="4"/>
        <v>6</v>
      </c>
      <c r="J26">
        <f t="shared" si="4"/>
        <v>1</v>
      </c>
      <c r="K26">
        <f t="shared" si="4"/>
        <v>4</v>
      </c>
    </row>
    <row r="27" spans="2:24" x14ac:dyDescent="0.25">
      <c r="C27" s="9">
        <v>5</v>
      </c>
      <c r="D27" s="19" t="s">
        <v>52</v>
      </c>
      <c r="E27" s="19" t="s">
        <v>52</v>
      </c>
      <c r="F27">
        <f t="shared" ref="F27:K27" si="5">_xlfn.RANK.AVG(F8,$F8:$K8,0)</f>
        <v>1.5</v>
      </c>
      <c r="G27">
        <f t="shared" si="5"/>
        <v>4</v>
      </c>
      <c r="H27">
        <f t="shared" si="5"/>
        <v>5</v>
      </c>
      <c r="I27">
        <f t="shared" si="5"/>
        <v>6</v>
      </c>
      <c r="J27">
        <f t="shared" si="5"/>
        <v>3</v>
      </c>
      <c r="K27">
        <f t="shared" si="5"/>
        <v>1.5</v>
      </c>
    </row>
    <row r="28" spans="2:24" x14ac:dyDescent="0.25">
      <c r="C28" s="9">
        <v>6</v>
      </c>
      <c r="D28" s="19" t="s">
        <v>53</v>
      </c>
      <c r="E28" s="19" t="s">
        <v>53</v>
      </c>
      <c r="F28">
        <f t="shared" ref="F28:K28" si="6">_xlfn.RANK.AVG(F9,$F9:$K9,0)</f>
        <v>4</v>
      </c>
      <c r="G28">
        <f t="shared" si="6"/>
        <v>5</v>
      </c>
      <c r="H28">
        <f t="shared" si="6"/>
        <v>3</v>
      </c>
      <c r="I28">
        <f t="shared" si="6"/>
        <v>6</v>
      </c>
      <c r="J28">
        <f t="shared" si="6"/>
        <v>1</v>
      </c>
      <c r="K28">
        <f t="shared" si="6"/>
        <v>2</v>
      </c>
    </row>
    <row r="29" spans="2:24" x14ac:dyDescent="0.25">
      <c r="C29" s="9">
        <v>7</v>
      </c>
      <c r="D29" s="19" t="s">
        <v>55</v>
      </c>
      <c r="E29" s="19" t="s">
        <v>55</v>
      </c>
      <c r="F29">
        <f t="shared" ref="F29:K29" si="7">_xlfn.RANK.AVG(F10,$F10:$K10,0)</f>
        <v>5</v>
      </c>
      <c r="G29">
        <f t="shared" si="7"/>
        <v>6</v>
      </c>
      <c r="H29">
        <f t="shared" si="7"/>
        <v>2</v>
      </c>
      <c r="I29">
        <f t="shared" si="7"/>
        <v>4</v>
      </c>
      <c r="J29">
        <f t="shared" si="7"/>
        <v>3</v>
      </c>
      <c r="K29">
        <f t="shared" si="7"/>
        <v>1</v>
      </c>
      <c r="P29" s="16"/>
    </row>
    <row r="30" spans="2:24" x14ac:dyDescent="0.25">
      <c r="D30" s="75"/>
      <c r="P30" s="16"/>
    </row>
    <row r="31" spans="2:24" x14ac:dyDescent="0.25">
      <c r="C31">
        <v>8</v>
      </c>
      <c r="D31" s="9" t="s">
        <v>174</v>
      </c>
      <c r="F31" s="44">
        <f>AVERAGE(F23:F29)</f>
        <v>4.0714285714285712</v>
      </c>
      <c r="G31" s="44">
        <f t="shared" ref="G31:K31" si="8">AVERAGE(G23:G29)</f>
        <v>5.2857142857142856</v>
      </c>
      <c r="H31" s="44">
        <f t="shared" si="8"/>
        <v>3.2857142857142856</v>
      </c>
      <c r="I31" s="44">
        <f t="shared" si="8"/>
        <v>4.2857142857142856</v>
      </c>
      <c r="J31" s="44">
        <f t="shared" si="8"/>
        <v>2</v>
      </c>
      <c r="K31" s="44">
        <f t="shared" si="8"/>
        <v>2.0714285714285716</v>
      </c>
    </row>
    <row r="32" spans="2:24" x14ac:dyDescent="0.25">
      <c r="D32" t="s">
        <v>20</v>
      </c>
      <c r="E32" s="44"/>
      <c r="F32" s="44"/>
      <c r="G32" s="44"/>
      <c r="H32" s="44"/>
      <c r="I32" s="44"/>
      <c r="J32" s="44"/>
      <c r="K32" s="112"/>
      <c r="L32" s="111"/>
      <c r="M32" s="111"/>
      <c r="N32" s="111"/>
      <c r="O32" s="3"/>
      <c r="P32" s="4"/>
      <c r="Q32" s="4"/>
      <c r="R32" s="4"/>
      <c r="S32" s="4"/>
      <c r="T32" s="4"/>
      <c r="U32" s="4"/>
    </row>
    <row r="33" spans="3:25" x14ac:dyDescent="0.25">
      <c r="O33" s="21"/>
      <c r="P33" s="21"/>
    </row>
    <row r="34" spans="3:25" x14ac:dyDescent="0.25">
      <c r="C34">
        <v>1</v>
      </c>
      <c r="D34" s="88" t="s">
        <v>76</v>
      </c>
      <c r="F34">
        <f>_xlfn.RANK.AVG(F14,$F14:$K14,0)</f>
        <v>3</v>
      </c>
      <c r="G34">
        <f t="shared" ref="G34:K34" si="9">_xlfn.RANK.AVG(G14,$F14:$K14,0)</f>
        <v>1</v>
      </c>
      <c r="H34">
        <f t="shared" si="9"/>
        <v>4</v>
      </c>
      <c r="I34">
        <f t="shared" si="9"/>
        <v>2</v>
      </c>
      <c r="J34">
        <f t="shared" si="9"/>
        <v>6</v>
      </c>
      <c r="K34">
        <f t="shared" si="9"/>
        <v>5</v>
      </c>
      <c r="O34" s="2"/>
    </row>
    <row r="35" spans="3:25" x14ac:dyDescent="0.25">
      <c r="C35">
        <v>2</v>
      </c>
      <c r="D35" s="88" t="s">
        <v>75</v>
      </c>
      <c r="F35">
        <f t="shared" ref="F35:K35" si="10">_xlfn.RANK.AVG(F15,$F15:$K15,0)</f>
        <v>5.5</v>
      </c>
      <c r="G35">
        <f t="shared" si="10"/>
        <v>1</v>
      </c>
      <c r="H35">
        <f t="shared" si="10"/>
        <v>5.5</v>
      </c>
      <c r="I35">
        <f t="shared" si="10"/>
        <v>2</v>
      </c>
      <c r="J35">
        <f t="shared" si="10"/>
        <v>4</v>
      </c>
      <c r="K35">
        <f t="shared" si="10"/>
        <v>3</v>
      </c>
      <c r="O35" s="2"/>
    </row>
    <row r="36" spans="3:25" x14ac:dyDescent="0.25">
      <c r="C36">
        <v>3</v>
      </c>
      <c r="D36" s="75" t="s">
        <v>169</v>
      </c>
      <c r="F36">
        <f t="shared" ref="F36:K36" si="11">_xlfn.RANK.AVG(F16,$F16:$K16,0)</f>
        <v>6</v>
      </c>
      <c r="G36">
        <f t="shared" si="11"/>
        <v>3</v>
      </c>
      <c r="H36">
        <f t="shared" si="11"/>
        <v>5</v>
      </c>
      <c r="I36">
        <f t="shared" si="11"/>
        <v>1</v>
      </c>
      <c r="J36">
        <f t="shared" si="11"/>
        <v>4</v>
      </c>
      <c r="K36">
        <f t="shared" si="11"/>
        <v>2</v>
      </c>
      <c r="O36" s="2"/>
    </row>
    <row r="37" spans="3:25" x14ac:dyDescent="0.25">
      <c r="C37">
        <v>4</v>
      </c>
      <c r="D37" s="19" t="s">
        <v>170</v>
      </c>
      <c r="F37">
        <f t="shared" ref="F37:K37" si="12">_xlfn.RANK.AVG(F17,$F17:$K17,0)</f>
        <v>5</v>
      </c>
      <c r="G37">
        <f t="shared" si="12"/>
        <v>2</v>
      </c>
      <c r="H37">
        <f t="shared" si="12"/>
        <v>6</v>
      </c>
      <c r="I37">
        <f t="shared" si="12"/>
        <v>1</v>
      </c>
      <c r="J37">
        <f t="shared" si="12"/>
        <v>4</v>
      </c>
      <c r="K37">
        <f t="shared" si="12"/>
        <v>3</v>
      </c>
      <c r="O37" s="13"/>
    </row>
    <row r="38" spans="3:25" x14ac:dyDescent="0.25">
      <c r="C38">
        <v>5</v>
      </c>
      <c r="D38" s="19" t="s">
        <v>171</v>
      </c>
      <c r="F38">
        <f t="shared" ref="F38:K38" si="13">_xlfn.RANK.AVG(F18,$F18:$K18,0)</f>
        <v>6</v>
      </c>
      <c r="G38">
        <f t="shared" si="13"/>
        <v>4</v>
      </c>
      <c r="H38">
        <f t="shared" si="13"/>
        <v>5</v>
      </c>
      <c r="I38">
        <f t="shared" si="13"/>
        <v>1</v>
      </c>
      <c r="J38">
        <f t="shared" si="13"/>
        <v>3</v>
      </c>
      <c r="K38">
        <f t="shared" si="13"/>
        <v>2</v>
      </c>
      <c r="O38" s="2"/>
    </row>
    <row r="39" spans="3:25" x14ac:dyDescent="0.25">
      <c r="D39" s="100"/>
      <c r="O39" s="2"/>
    </row>
    <row r="40" spans="3:25" x14ac:dyDescent="0.25">
      <c r="D40" s="88"/>
      <c r="O40" s="25"/>
      <c r="S40" s="10"/>
      <c r="T40" s="10"/>
      <c r="U40" s="10"/>
      <c r="V40" s="10"/>
      <c r="W40" s="10"/>
      <c r="X40" s="10"/>
      <c r="Y40" s="10"/>
    </row>
    <row r="41" spans="3:25" x14ac:dyDescent="0.25">
      <c r="D41" s="95"/>
      <c r="O41" s="10"/>
      <c r="S41" s="10"/>
      <c r="T41" s="10"/>
      <c r="U41" s="10"/>
      <c r="V41" s="10"/>
      <c r="W41" s="10"/>
      <c r="X41" s="10"/>
      <c r="Y41" s="10"/>
    </row>
    <row r="42" spans="3:25" x14ac:dyDescent="0.25">
      <c r="D42" s="88"/>
      <c r="O42" s="10"/>
      <c r="S42" s="10"/>
      <c r="T42" s="10"/>
      <c r="U42" s="10"/>
      <c r="V42" s="10"/>
      <c r="W42" s="10"/>
      <c r="X42" s="10"/>
      <c r="Y42" s="10"/>
    </row>
    <row r="43" spans="3:25" x14ac:dyDescent="0.25">
      <c r="D43" s="88"/>
      <c r="O43" s="10"/>
      <c r="S43" s="10"/>
      <c r="T43" s="10"/>
      <c r="U43" s="10"/>
      <c r="V43" s="10"/>
      <c r="W43" s="10"/>
      <c r="X43" s="10"/>
      <c r="Y43" s="10"/>
    </row>
    <row r="44" spans="3:25" x14ac:dyDescent="0.25">
      <c r="D44" s="88" t="s">
        <v>24</v>
      </c>
      <c r="E44" s="49">
        <v>7</v>
      </c>
      <c r="O44" s="10"/>
      <c r="S44" s="10"/>
      <c r="T44" s="10"/>
      <c r="U44" s="10"/>
      <c r="V44" s="10"/>
      <c r="W44" s="10"/>
      <c r="X44" s="10"/>
      <c r="Y44" s="10"/>
    </row>
    <row r="45" spans="3:25" x14ac:dyDescent="0.25">
      <c r="D45" s="16" t="s">
        <v>63</v>
      </c>
      <c r="E45" s="49">
        <v>4</v>
      </c>
      <c r="F45" s="44">
        <f>AVERAGE(F34:F42)</f>
        <v>5.0999999999999996</v>
      </c>
      <c r="G45" s="44">
        <f t="shared" ref="G45:K45" si="14">AVERAGE(G34:G42)</f>
        <v>2.2000000000000002</v>
      </c>
      <c r="H45" s="44">
        <f t="shared" si="14"/>
        <v>5.0999999999999996</v>
      </c>
      <c r="I45" s="44">
        <f t="shared" si="14"/>
        <v>1.4</v>
      </c>
      <c r="J45" s="44">
        <f t="shared" si="14"/>
        <v>4.2</v>
      </c>
      <c r="K45" s="44">
        <f t="shared" si="14"/>
        <v>3</v>
      </c>
      <c r="O45" s="10"/>
      <c r="S45" s="10"/>
      <c r="T45" s="10"/>
      <c r="U45" s="10"/>
      <c r="V45" s="10"/>
      <c r="W45" s="10"/>
      <c r="X45" s="10"/>
      <c r="Y45" s="10"/>
    </row>
    <row r="46" spans="3:25" x14ac:dyDescent="0.25">
      <c r="F46" s="44">
        <f>AVERAGE(F23:F29,F34:F38)</f>
        <v>4.5</v>
      </c>
      <c r="G46" s="44">
        <f t="shared" ref="G46:K46" si="15">AVERAGE(G23:G29,G34:G38)</f>
        <v>4</v>
      </c>
      <c r="H46" s="44">
        <f t="shared" si="15"/>
        <v>4.041666666666667</v>
      </c>
      <c r="I46" s="44">
        <f t="shared" si="15"/>
        <v>3.0833333333333335</v>
      </c>
      <c r="J46" s="44">
        <f t="shared" si="15"/>
        <v>2.9166666666666665</v>
      </c>
      <c r="K46" s="44">
        <f t="shared" si="15"/>
        <v>2.4583333333333335</v>
      </c>
      <c r="O46" s="10"/>
      <c r="S46" s="10"/>
      <c r="T46" s="10"/>
      <c r="U46" s="10"/>
      <c r="V46" s="10"/>
      <c r="W46" s="10"/>
      <c r="X46" s="10"/>
      <c r="Y46" s="10"/>
    </row>
    <row r="47" spans="3:25" x14ac:dyDescent="0.25">
      <c r="D47" s="16" t="s">
        <v>80</v>
      </c>
      <c r="O47" s="34"/>
      <c r="S47" s="10"/>
      <c r="T47" s="10"/>
      <c r="U47" s="10"/>
      <c r="V47" s="10"/>
      <c r="W47" s="10"/>
      <c r="X47" s="10"/>
      <c r="Y47" s="10"/>
    </row>
    <row r="48" spans="3:25" x14ac:dyDescent="0.25">
      <c r="D48" s="22"/>
      <c r="E48" s="102"/>
      <c r="F48" s="102" t="s">
        <v>18</v>
      </c>
      <c r="G48" s="102"/>
      <c r="H48" s="102"/>
      <c r="I48" s="102" t="s">
        <v>57</v>
      </c>
      <c r="J48" s="102" t="s">
        <v>65</v>
      </c>
      <c r="K48" s="86" t="s">
        <v>85</v>
      </c>
      <c r="L48" s="27"/>
      <c r="M48" s="27"/>
      <c r="N48" s="113" t="s">
        <v>61</v>
      </c>
      <c r="O48" s="34"/>
      <c r="S48" s="10"/>
      <c r="T48" s="10"/>
      <c r="U48" s="10"/>
      <c r="V48" s="10"/>
      <c r="W48" s="10"/>
      <c r="X48" s="10"/>
      <c r="Y48" s="10"/>
    </row>
    <row r="49" spans="4:25" x14ac:dyDescent="0.25">
      <c r="D49" s="22" t="s">
        <v>60</v>
      </c>
      <c r="E49" s="22"/>
      <c r="F49" s="22">
        <f>COUNT(F5:F10)</f>
        <v>6</v>
      </c>
      <c r="G49" s="22"/>
      <c r="H49" s="22"/>
      <c r="I49" s="22">
        <f>COUNT(I4:I10)</f>
        <v>7</v>
      </c>
      <c r="J49" s="22">
        <f>COUNT(J4:J10)</f>
        <v>7</v>
      </c>
      <c r="K49" s="51">
        <f>COUNT(K4:K10)</f>
        <v>7</v>
      </c>
      <c r="L49" s="1"/>
      <c r="M49" s="1"/>
      <c r="N49" s="114">
        <f>SUM(E49:K49)</f>
        <v>27</v>
      </c>
      <c r="O49" s="34"/>
      <c r="S49" s="10"/>
      <c r="T49" s="10"/>
      <c r="U49" s="10"/>
      <c r="V49" s="10"/>
      <c r="W49" s="10"/>
      <c r="X49" s="10"/>
      <c r="Y49" s="10"/>
    </row>
    <row r="50" spans="4:25" x14ac:dyDescent="0.25">
      <c r="D50" s="22" t="s">
        <v>82</v>
      </c>
      <c r="E50" s="22"/>
      <c r="F50" s="22">
        <f>SUM(F23:F29)</f>
        <v>28.5</v>
      </c>
      <c r="G50" s="22"/>
      <c r="H50" s="22"/>
      <c r="I50" s="22">
        <f t="shared" ref="I50:K50" si="16">SUM(I23:I29)</f>
        <v>30</v>
      </c>
      <c r="J50" s="22">
        <f t="shared" si="16"/>
        <v>14</v>
      </c>
      <c r="K50" s="22">
        <f t="shared" si="16"/>
        <v>14.5</v>
      </c>
      <c r="L50" s="1"/>
      <c r="M50" s="1"/>
      <c r="N50" s="114">
        <f>SUM(F50:K50)</f>
        <v>87</v>
      </c>
      <c r="O50" s="34"/>
      <c r="S50" s="10"/>
      <c r="T50" s="10"/>
      <c r="U50" s="10"/>
      <c r="V50" s="10"/>
      <c r="W50" s="10"/>
      <c r="X50" s="10"/>
      <c r="Y50" s="10"/>
    </row>
    <row r="51" spans="4:25" x14ac:dyDescent="0.25">
      <c r="D51" s="22" t="s">
        <v>83</v>
      </c>
      <c r="E51" s="45"/>
      <c r="F51" s="23">
        <f>AVERAGE(F23:F29)</f>
        <v>4.0714285714285712</v>
      </c>
      <c r="G51" s="23"/>
      <c r="H51" s="23"/>
      <c r="I51" s="23">
        <f t="shared" ref="I51:K51" si="17">AVERAGE(I23:I29)</f>
        <v>4.2857142857142856</v>
      </c>
      <c r="J51" s="23">
        <f t="shared" si="17"/>
        <v>2</v>
      </c>
      <c r="K51" s="23">
        <f t="shared" si="17"/>
        <v>2.0714285714285716</v>
      </c>
      <c r="L51" s="116"/>
      <c r="M51" s="116"/>
      <c r="N51" s="115">
        <f>AVERAGE(F51:K51)</f>
        <v>3.1071428571428572</v>
      </c>
      <c r="O51" s="34"/>
      <c r="S51" s="10"/>
      <c r="T51" s="10"/>
      <c r="U51" s="10"/>
      <c r="V51" s="10"/>
      <c r="W51" s="10"/>
      <c r="X51" s="10"/>
      <c r="Y51" s="10"/>
    </row>
    <row r="52" spans="4:25" x14ac:dyDescent="0.25">
      <c r="D52" s="25" t="s">
        <v>20</v>
      </c>
      <c r="E52" s="4"/>
      <c r="F52" s="4">
        <f t="shared" ref="F52:K52" si="18">F51^2</f>
        <v>16.576530612244895</v>
      </c>
      <c r="G52" s="4"/>
      <c r="H52" s="4"/>
      <c r="I52" s="4">
        <f t="shared" si="18"/>
        <v>18.367346938775508</v>
      </c>
      <c r="J52" s="4">
        <f t="shared" si="18"/>
        <v>4</v>
      </c>
      <c r="K52" s="4">
        <f t="shared" si="18"/>
        <v>4.2908163265306127</v>
      </c>
      <c r="L52" s="4"/>
      <c r="M52" s="4"/>
      <c r="N52" s="63">
        <f>SUM(F52:K52)</f>
        <v>43.234693877551017</v>
      </c>
      <c r="O52" s="35"/>
      <c r="S52" s="10"/>
      <c r="T52" s="10"/>
      <c r="U52" s="10"/>
      <c r="V52" s="10"/>
      <c r="W52" s="10"/>
      <c r="X52" s="10"/>
      <c r="Y52" s="10"/>
    </row>
    <row r="53" spans="4:25" x14ac:dyDescent="0.25">
      <c r="O53" s="35"/>
      <c r="P53" s="10"/>
      <c r="Q53" s="65"/>
      <c r="R53" s="66" t="s">
        <v>104</v>
      </c>
      <c r="S53" s="66" t="s">
        <v>105</v>
      </c>
      <c r="T53" s="66" t="s">
        <v>106</v>
      </c>
      <c r="U53" s="66" t="s">
        <v>61</v>
      </c>
      <c r="V53" s="71"/>
      <c r="W53" s="10"/>
      <c r="X53" s="10"/>
      <c r="Y53" s="10"/>
    </row>
    <row r="54" spans="4:25" ht="17.25" x14ac:dyDescent="0.25">
      <c r="E54" s="102"/>
      <c r="F54" s="102" t="s">
        <v>18</v>
      </c>
      <c r="G54" s="102"/>
      <c r="H54" s="102"/>
      <c r="I54" s="102" t="s">
        <v>57</v>
      </c>
      <c r="J54" s="102" t="s">
        <v>65</v>
      </c>
      <c r="K54" s="86" t="s">
        <v>85</v>
      </c>
      <c r="L54" s="29"/>
      <c r="M54" s="27"/>
      <c r="O54" s="35"/>
      <c r="P54" s="10"/>
      <c r="Q54" s="67" t="s">
        <v>107</v>
      </c>
      <c r="R54" s="65">
        <v>10</v>
      </c>
      <c r="S54" s="65">
        <v>10</v>
      </c>
      <c r="T54" s="65">
        <v>10</v>
      </c>
      <c r="U54" s="65">
        <v>30</v>
      </c>
      <c r="V54" s="68" t="s">
        <v>108</v>
      </c>
      <c r="W54" s="10"/>
      <c r="X54" s="10"/>
      <c r="Y54" s="10"/>
    </row>
    <row r="55" spans="4:25" ht="21.75" customHeight="1" x14ac:dyDescent="0.25">
      <c r="E55" s="4"/>
      <c r="F55" s="4">
        <f>F49*(F51-$N$51)^2</f>
        <v>5.5790816326530575</v>
      </c>
      <c r="G55" s="4"/>
      <c r="H55" s="4"/>
      <c r="I55" s="4">
        <f>I49*(I51-$N$51)^2</f>
        <v>9.7232142857142811</v>
      </c>
      <c r="J55" s="4">
        <f>J49*(J51-$N$51)^2</f>
        <v>8.5803571428571441</v>
      </c>
      <c r="K55" s="4">
        <f>K49*(K51-$N$51)^2</f>
        <v>7.5089285714285694</v>
      </c>
      <c r="L55" s="4"/>
      <c r="M55" s="4"/>
      <c r="N55" s="73">
        <f>SUM(E55:L55)</f>
        <v>31.39158163265305</v>
      </c>
      <c r="O55" s="3"/>
      <c r="P55" s="50"/>
      <c r="Q55" s="67" t="s">
        <v>58</v>
      </c>
      <c r="R55" s="65">
        <v>26.5</v>
      </c>
      <c r="S55" s="65">
        <v>21</v>
      </c>
      <c r="T55" s="65">
        <v>12.5</v>
      </c>
      <c r="U55" s="65">
        <v>60</v>
      </c>
      <c r="V55" s="69" t="s">
        <v>109</v>
      </c>
      <c r="W55" s="27"/>
      <c r="X55" s="10"/>
      <c r="Y55" s="10"/>
    </row>
    <row r="56" spans="4:25" x14ac:dyDescent="0.25">
      <c r="O56" s="35"/>
      <c r="P56" s="10"/>
      <c r="Q56" s="67" t="s">
        <v>59</v>
      </c>
      <c r="R56" s="65">
        <v>2.65</v>
      </c>
      <c r="S56" s="65">
        <v>2.1</v>
      </c>
      <c r="T56" s="65">
        <v>1.25</v>
      </c>
      <c r="U56" s="65">
        <v>2</v>
      </c>
      <c r="V56" s="70" t="s">
        <v>110</v>
      </c>
      <c r="W56" s="10"/>
      <c r="X56" s="10"/>
      <c r="Y56" s="10"/>
    </row>
    <row r="57" spans="4:25" x14ac:dyDescent="0.25">
      <c r="D57">
        <v>1</v>
      </c>
      <c r="F57">
        <f t="shared" ref="F57:F63" si="19">(F23-$N$51)^2</f>
        <v>3.5829081632653059</v>
      </c>
      <c r="I57">
        <f t="shared" ref="I57:K57" si="20">(I23-$N$51)^2</f>
        <v>0.79719387755102034</v>
      </c>
      <c r="J57">
        <f t="shared" si="20"/>
        <v>1.2257653061224492</v>
      </c>
      <c r="K57">
        <f t="shared" si="20"/>
        <v>4.4400510204081636</v>
      </c>
      <c r="N57">
        <f t="shared" ref="N57:N63" si="21">SUM(E57:L57)</f>
        <v>10.045918367346939</v>
      </c>
      <c r="O57" s="35"/>
      <c r="P57" s="10"/>
      <c r="Q57" s="10"/>
      <c r="R57" s="10" t="s">
        <v>21</v>
      </c>
      <c r="S57" s="72">
        <v>3</v>
      </c>
      <c r="T57" s="10"/>
      <c r="U57" s="10"/>
      <c r="V57" s="10"/>
      <c r="W57" s="10"/>
      <c r="X57" s="10"/>
      <c r="Y57" s="10"/>
    </row>
    <row r="58" spans="4:25" x14ac:dyDescent="0.25">
      <c r="D58">
        <v>2</v>
      </c>
      <c r="F58">
        <f t="shared" si="19"/>
        <v>3.5829081632653059</v>
      </c>
      <c r="I58">
        <f t="shared" ref="I58:K63" si="22">(I24-$N$51)^2</f>
        <v>1.2257653061224492</v>
      </c>
      <c r="J58">
        <f t="shared" si="22"/>
        <v>1.1479591836734707E-2</v>
      </c>
      <c r="K58">
        <f t="shared" si="22"/>
        <v>4.4400510204081636</v>
      </c>
      <c r="N58">
        <f t="shared" si="21"/>
        <v>9.2602040816326543</v>
      </c>
      <c r="O58" s="35"/>
      <c r="P58" s="10"/>
      <c r="Q58" s="10"/>
      <c r="R58" s="10" t="s">
        <v>24</v>
      </c>
      <c r="S58" s="72">
        <v>10</v>
      </c>
      <c r="T58" s="10"/>
      <c r="U58" s="10"/>
      <c r="V58" s="10"/>
      <c r="W58" s="10"/>
      <c r="X58" s="10"/>
      <c r="Y58" s="10"/>
    </row>
    <row r="59" spans="4:25" x14ac:dyDescent="0.25">
      <c r="D59">
        <v>3</v>
      </c>
      <c r="F59">
        <f t="shared" si="19"/>
        <v>8.3686224489795915</v>
      </c>
      <c r="I59">
        <f t="shared" si="22"/>
        <v>1.2257653061224492</v>
      </c>
      <c r="J59">
        <f t="shared" si="22"/>
        <v>4.4400510204081636</v>
      </c>
      <c r="K59">
        <f t="shared" si="22"/>
        <v>0.79719387755102034</v>
      </c>
      <c r="N59">
        <f t="shared" si="21"/>
        <v>14.831632653061224</v>
      </c>
      <c r="O59" s="35"/>
      <c r="P59" s="10"/>
      <c r="Q59" s="10"/>
      <c r="R59" s="4"/>
      <c r="S59" s="4"/>
      <c r="T59" s="4"/>
      <c r="U59" s="4"/>
      <c r="V59" s="4"/>
      <c r="W59" s="4"/>
      <c r="X59" s="10"/>
      <c r="Y59" s="10"/>
    </row>
    <row r="60" spans="4:25" x14ac:dyDescent="0.25">
      <c r="D60">
        <v>4</v>
      </c>
      <c r="F60">
        <f t="shared" si="19"/>
        <v>1.2257653061224492</v>
      </c>
      <c r="I60">
        <f t="shared" si="22"/>
        <v>8.3686224489795915</v>
      </c>
      <c r="J60">
        <f t="shared" si="22"/>
        <v>4.4400510204081636</v>
      </c>
      <c r="K60">
        <f t="shared" si="22"/>
        <v>0.79719387755102034</v>
      </c>
      <c r="N60">
        <f t="shared" si="21"/>
        <v>14.831632653061224</v>
      </c>
      <c r="O60" s="35"/>
      <c r="R60" s="3">
        <f>R54*(R56-$U$56)^2</f>
        <v>4.2249999999999988</v>
      </c>
      <c r="S60" s="3">
        <f t="shared" ref="S60:T60" si="23">S54*(S56-$U$56)^2</f>
        <v>0.10000000000000017</v>
      </c>
      <c r="T60" s="3">
        <f t="shared" si="23"/>
        <v>5.625</v>
      </c>
      <c r="U60" s="3"/>
      <c r="V60" s="4"/>
      <c r="W60" s="4"/>
      <c r="X60" s="52">
        <f>SUM(R60:W60)</f>
        <v>9.9499999999999993</v>
      </c>
    </row>
    <row r="61" spans="4:25" x14ac:dyDescent="0.25">
      <c r="D61">
        <v>5</v>
      </c>
      <c r="F61">
        <f t="shared" si="19"/>
        <v>2.5829081632653064</v>
      </c>
      <c r="I61">
        <f t="shared" si="22"/>
        <v>8.3686224489795915</v>
      </c>
      <c r="J61">
        <f t="shared" si="22"/>
        <v>1.1479591836734707E-2</v>
      </c>
      <c r="K61">
        <f t="shared" si="22"/>
        <v>2.5829081632653064</v>
      </c>
      <c r="N61">
        <f t="shared" si="21"/>
        <v>13.545918367346939</v>
      </c>
      <c r="O61" s="35"/>
    </row>
    <row r="62" spans="4:25" x14ac:dyDescent="0.25">
      <c r="D62">
        <v>6</v>
      </c>
      <c r="F62">
        <f t="shared" si="19"/>
        <v>0.79719387755102034</v>
      </c>
      <c r="I62">
        <f t="shared" si="22"/>
        <v>8.3686224489795915</v>
      </c>
      <c r="J62">
        <f t="shared" si="22"/>
        <v>4.4400510204081636</v>
      </c>
      <c r="K62">
        <f t="shared" si="22"/>
        <v>1.2257653061224492</v>
      </c>
      <c r="N62">
        <f t="shared" si="21"/>
        <v>14.831632653061225</v>
      </c>
      <c r="O62" s="35"/>
      <c r="X62">
        <f>X60/((S57*(S57+1))/12)</f>
        <v>9.9499999999999993</v>
      </c>
    </row>
    <row r="63" spans="4:25" x14ac:dyDescent="0.25">
      <c r="D63">
        <v>7</v>
      </c>
      <c r="F63">
        <f t="shared" si="19"/>
        <v>3.5829081632653059</v>
      </c>
      <c r="I63">
        <f t="shared" si="22"/>
        <v>0.79719387755102034</v>
      </c>
      <c r="J63">
        <f t="shared" si="22"/>
        <v>1.1479591836734707E-2</v>
      </c>
      <c r="K63">
        <f t="shared" si="22"/>
        <v>4.4400510204081636</v>
      </c>
      <c r="N63">
        <f t="shared" si="21"/>
        <v>8.8316326530612237</v>
      </c>
      <c r="O63" s="35"/>
    </row>
    <row r="64" spans="4:25" x14ac:dyDescent="0.25">
      <c r="O64" s="35"/>
      <c r="P64">
        <f>SUMSQ(E57:L64)</f>
        <v>460.96469569970861</v>
      </c>
      <c r="R64" s="102" t="s">
        <v>56</v>
      </c>
      <c r="S64" s="29" t="s">
        <v>85</v>
      </c>
      <c r="T64" s="29" t="s">
        <v>160</v>
      </c>
    </row>
    <row r="65" spans="4:20" x14ac:dyDescent="0.25">
      <c r="F65" s="4"/>
      <c r="G65" s="4"/>
      <c r="H65" s="4"/>
      <c r="I65" s="4"/>
      <c r="J65" s="4"/>
      <c r="K65" s="4"/>
      <c r="N65" s="48">
        <f>SUM(N57:N64)</f>
        <v>86.178571428571416</v>
      </c>
      <c r="O65" s="35"/>
      <c r="Q65" s="9" t="s">
        <v>48</v>
      </c>
      <c r="R65" s="41">
        <v>90.54</v>
      </c>
      <c r="S65" s="38">
        <v>91.21</v>
      </c>
      <c r="T65" s="38">
        <v>91.21</v>
      </c>
    </row>
    <row r="66" spans="4:20" x14ac:dyDescent="0.25">
      <c r="N66" s="48"/>
      <c r="O66" s="35"/>
      <c r="Q66" s="9" t="s">
        <v>49</v>
      </c>
      <c r="R66" s="41">
        <v>87.21</v>
      </c>
      <c r="S66" s="38">
        <v>89.41</v>
      </c>
      <c r="T66" s="38">
        <v>89.41</v>
      </c>
    </row>
    <row r="67" spans="4:20" x14ac:dyDescent="0.25">
      <c r="L67" t="s">
        <v>64</v>
      </c>
      <c r="N67" s="117">
        <f>N65/(M6*(M7-1))</f>
        <v>4.103741496598639</v>
      </c>
      <c r="O67" s="35"/>
      <c r="Q67" s="9" t="s">
        <v>50</v>
      </c>
      <c r="R67" s="41">
        <v>82.81</v>
      </c>
      <c r="S67" s="38">
        <v>81.650000000000006</v>
      </c>
      <c r="T67" s="20">
        <v>82.23</v>
      </c>
    </row>
    <row r="68" spans="4:20" x14ac:dyDescent="0.25">
      <c r="L68" t="s">
        <v>181</v>
      </c>
      <c r="N68" s="48">
        <f>N55/N67</f>
        <v>7.6495026937422281</v>
      </c>
      <c r="O68" s="35"/>
      <c r="Q68" s="9" t="s">
        <v>51</v>
      </c>
      <c r="R68" s="41">
        <v>73.52</v>
      </c>
      <c r="S68" s="38">
        <v>72.709999999999994</v>
      </c>
      <c r="T68" s="36">
        <v>73.05</v>
      </c>
    </row>
    <row r="69" spans="4:20" x14ac:dyDescent="0.25">
      <c r="L69" t="s">
        <v>88</v>
      </c>
      <c r="N69">
        <f>((M6-1)*N68)/(M6*(M6-1)-N68)</f>
        <v>1.3361383316593824</v>
      </c>
      <c r="Q69" s="19" t="s">
        <v>52</v>
      </c>
      <c r="R69" s="37">
        <v>88.09</v>
      </c>
      <c r="S69" s="38">
        <v>93.81</v>
      </c>
      <c r="T69" s="20">
        <v>93.81</v>
      </c>
    </row>
    <row r="70" spans="4:20" x14ac:dyDescent="0.25">
      <c r="L70" t="s">
        <v>37</v>
      </c>
      <c r="N70" s="55">
        <f>_xlfn.CHISQ.DIST.RT(N68,3)</f>
        <v>5.383899474666877E-2</v>
      </c>
      <c r="Q70" s="9" t="s">
        <v>53</v>
      </c>
      <c r="R70" s="41">
        <v>88.9</v>
      </c>
      <c r="S70" s="38">
        <v>88.9</v>
      </c>
      <c r="T70" s="20">
        <v>88.72</v>
      </c>
    </row>
    <row r="71" spans="4:20" x14ac:dyDescent="0.25">
      <c r="D71" s="16" t="s">
        <v>62</v>
      </c>
      <c r="E71" s="49">
        <v>9</v>
      </c>
      <c r="Q71" s="9" t="s">
        <v>54</v>
      </c>
      <c r="R71" s="42">
        <v>100</v>
      </c>
      <c r="S71" s="43">
        <v>100</v>
      </c>
      <c r="T71" s="20"/>
    </row>
    <row r="72" spans="4:20" ht="15.75" x14ac:dyDescent="0.25">
      <c r="D72" s="16" t="s">
        <v>63</v>
      </c>
      <c r="E72" s="49">
        <v>4</v>
      </c>
      <c r="L72" s="56" t="s">
        <v>90</v>
      </c>
      <c r="M72" s="56"/>
      <c r="N72" s="55">
        <f>_xlfn.CHISQ.DIST.RT(N69,3)</f>
        <v>0.72057008059389216</v>
      </c>
      <c r="O72" s="28" t="s">
        <v>91</v>
      </c>
      <c r="P72" s="28">
        <f>M7-1</f>
        <v>3</v>
      </c>
      <c r="Q72" s="9" t="s">
        <v>55</v>
      </c>
      <c r="R72" s="41">
        <v>94.59</v>
      </c>
      <c r="S72" s="38">
        <v>92.11</v>
      </c>
      <c r="T72" s="20"/>
    </row>
    <row r="73" spans="4:20" x14ac:dyDescent="0.25">
      <c r="D73" s="16"/>
      <c r="E73" s="49"/>
      <c r="O73" s="28" t="s">
        <v>92</v>
      </c>
      <c r="P73" s="28">
        <f>(M6-1)*(M7-1)</f>
        <v>18</v>
      </c>
      <c r="R73" s="30">
        <f t="shared" ref="R73:T73" si="24">AVERAGE(R65:R72)</f>
        <v>88.207499999999996</v>
      </c>
      <c r="S73" s="37">
        <f t="shared" si="24"/>
        <v>88.724999999999994</v>
      </c>
      <c r="T73" s="37">
        <f t="shared" si="24"/>
        <v>86.405000000000015</v>
      </c>
    </row>
    <row r="74" spans="4:20" x14ac:dyDescent="0.25">
      <c r="D74" s="16" t="s">
        <v>81</v>
      </c>
      <c r="O74" s="35"/>
      <c r="R74">
        <f>_xlfn.RANK.AVG(R65,$R65:$T65,0)</f>
        <v>3</v>
      </c>
      <c r="S74">
        <f t="shared" ref="S74:T74" si="25">_xlfn.RANK.AVG(S65,$R65:$T65,0)</f>
        <v>1.5</v>
      </c>
      <c r="T74">
        <f t="shared" si="25"/>
        <v>1.5</v>
      </c>
    </row>
    <row r="75" spans="4:20" x14ac:dyDescent="0.25">
      <c r="D75" s="22"/>
      <c r="E75" s="102"/>
      <c r="F75" s="102" t="s">
        <v>18</v>
      </c>
      <c r="G75" s="102"/>
      <c r="H75" s="102"/>
      <c r="I75" s="102" t="s">
        <v>57</v>
      </c>
      <c r="J75" s="102" t="s">
        <v>65</v>
      </c>
      <c r="K75" s="86" t="s">
        <v>85</v>
      </c>
      <c r="L75" s="29"/>
      <c r="M75" s="29"/>
      <c r="N75" s="24" t="s">
        <v>61</v>
      </c>
      <c r="P75">
        <f>_xlfn.F.DIST(N72,P72,P73,TRUE)</f>
        <v>0.44734607780859087</v>
      </c>
      <c r="R75">
        <f t="shared" ref="R75:T81" si="26">_xlfn.RANK.AVG(R66,$R66:$T66,0)</f>
        <v>3</v>
      </c>
      <c r="S75">
        <f t="shared" si="26"/>
        <v>1.5</v>
      </c>
      <c r="T75">
        <f t="shared" si="26"/>
        <v>1.5</v>
      </c>
    </row>
    <row r="76" spans="4:20" x14ac:dyDescent="0.25">
      <c r="D76" s="22" t="s">
        <v>60</v>
      </c>
      <c r="E76" s="22"/>
      <c r="F76" s="22">
        <f>COUNT(F14:F18)</f>
        <v>5</v>
      </c>
      <c r="G76" s="22"/>
      <c r="H76" s="22"/>
      <c r="I76" s="22">
        <f>COUNT(I14:I18)</f>
        <v>5</v>
      </c>
      <c r="J76" s="22">
        <f>COUNT(J14:J18)</f>
        <v>5</v>
      </c>
      <c r="K76" s="22">
        <f>COUNT(K14:K18)</f>
        <v>5</v>
      </c>
      <c r="L76" s="22"/>
      <c r="M76" s="22"/>
      <c r="N76" s="22">
        <f>SUM(E76:L76)</f>
        <v>20</v>
      </c>
      <c r="R76">
        <f t="shared" si="26"/>
        <v>1</v>
      </c>
      <c r="S76">
        <f t="shared" si="26"/>
        <v>3</v>
      </c>
      <c r="T76">
        <f t="shared" si="26"/>
        <v>2</v>
      </c>
    </row>
    <row r="77" spans="4:20" x14ac:dyDescent="0.25">
      <c r="D77" s="22" t="s">
        <v>82</v>
      </c>
      <c r="E77" s="45"/>
      <c r="F77" s="45">
        <f>SUM(F34:F42)</f>
        <v>25.5</v>
      </c>
      <c r="G77" s="45"/>
      <c r="H77" s="45"/>
      <c r="I77" s="45">
        <f t="shared" ref="I77:K77" si="27">SUM(I34:I42)</f>
        <v>7</v>
      </c>
      <c r="J77" s="45">
        <f t="shared" si="27"/>
        <v>21</v>
      </c>
      <c r="K77" s="45">
        <f t="shared" si="27"/>
        <v>15</v>
      </c>
      <c r="L77" s="45"/>
      <c r="M77" s="45"/>
      <c r="N77" s="22">
        <f>SUM(E77:L77)</f>
        <v>68.5</v>
      </c>
      <c r="Q77" s="8"/>
      <c r="R77">
        <f t="shared" si="26"/>
        <v>1</v>
      </c>
      <c r="S77">
        <f t="shared" si="26"/>
        <v>3</v>
      </c>
      <c r="T77">
        <f t="shared" si="26"/>
        <v>2</v>
      </c>
    </row>
    <row r="78" spans="4:20" x14ac:dyDescent="0.25">
      <c r="D78" s="22" t="s">
        <v>83</v>
      </c>
      <c r="E78" s="46"/>
      <c r="F78" s="46">
        <f>AVERAGE(F34:F42)</f>
        <v>5.0999999999999996</v>
      </c>
      <c r="G78" s="46"/>
      <c r="H78" s="46"/>
      <c r="I78" s="46">
        <f t="shared" ref="I78:K78" si="28">AVERAGE(I34:I42)</f>
        <v>1.4</v>
      </c>
      <c r="J78" s="46">
        <f t="shared" si="28"/>
        <v>4.2</v>
      </c>
      <c r="K78" s="46">
        <f t="shared" si="28"/>
        <v>3</v>
      </c>
      <c r="L78" s="46"/>
      <c r="M78" s="46"/>
      <c r="N78" s="46">
        <f>AVERAGE(E78:L78)</f>
        <v>3.4249999999999998</v>
      </c>
      <c r="R78">
        <f t="shared" si="26"/>
        <v>3</v>
      </c>
      <c r="S78">
        <f t="shared" si="26"/>
        <v>1.5</v>
      </c>
      <c r="T78">
        <f t="shared" si="26"/>
        <v>1.5</v>
      </c>
    </row>
    <row r="79" spans="4:20" x14ac:dyDescent="0.25">
      <c r="R79">
        <f t="shared" si="26"/>
        <v>1.5</v>
      </c>
      <c r="S79">
        <f t="shared" si="26"/>
        <v>1.5</v>
      </c>
      <c r="T79">
        <f t="shared" si="26"/>
        <v>3</v>
      </c>
    </row>
    <row r="80" spans="4:20" x14ac:dyDescent="0.25">
      <c r="R80">
        <f t="shared" si="26"/>
        <v>1.5</v>
      </c>
      <c r="S80">
        <f t="shared" si="26"/>
        <v>1.5</v>
      </c>
      <c r="T80" t="e">
        <f t="shared" si="26"/>
        <v>#N/A</v>
      </c>
    </row>
    <row r="81" spans="4:27" x14ac:dyDescent="0.25">
      <c r="R81">
        <f t="shared" si="26"/>
        <v>1</v>
      </c>
      <c r="S81">
        <f t="shared" si="26"/>
        <v>2</v>
      </c>
      <c r="T81" t="e">
        <f t="shared" si="26"/>
        <v>#N/A</v>
      </c>
    </row>
    <row r="82" spans="4:27" x14ac:dyDescent="0.25">
      <c r="E82" s="102"/>
      <c r="F82" s="102" t="s">
        <v>18</v>
      </c>
      <c r="G82" s="102"/>
      <c r="H82" s="102"/>
      <c r="I82" s="102" t="s">
        <v>57</v>
      </c>
      <c r="J82" s="102" t="s">
        <v>65</v>
      </c>
      <c r="K82" s="86" t="s">
        <v>85</v>
      </c>
      <c r="L82" s="29"/>
      <c r="M82" s="27"/>
      <c r="R82" s="30">
        <f t="shared" ref="R82:T82" si="29">AVERAGE(R74:R81)</f>
        <v>1.875</v>
      </c>
      <c r="S82" s="30">
        <f t="shared" si="29"/>
        <v>1.9375</v>
      </c>
      <c r="T82" s="30" t="e">
        <f t="shared" si="29"/>
        <v>#N/A</v>
      </c>
    </row>
    <row r="83" spans="4:27" x14ac:dyDescent="0.25">
      <c r="E83" s="4"/>
      <c r="F83" s="4">
        <f>F76*(F78-$N$78)^2</f>
        <v>14.028124999999998</v>
      </c>
      <c r="G83" s="4"/>
      <c r="H83" s="4"/>
      <c r="I83" s="4">
        <f>I76*(I78-$N$78)^2</f>
        <v>20.503125000000001</v>
      </c>
      <c r="J83" s="4">
        <f>J76*(J78-$N$78)^2</f>
        <v>3.0031250000000025</v>
      </c>
      <c r="K83" s="4">
        <f>K76*(K78-$N$78)^2</f>
        <v>0.90312499999999918</v>
      </c>
      <c r="L83" s="4"/>
      <c r="M83" s="4"/>
      <c r="N83" s="47">
        <f>SUM(E83:L83)</f>
        <v>38.4375</v>
      </c>
      <c r="O83" s="3">
        <f>N83/((E72*(E72+1))/12)</f>
        <v>23.0625</v>
      </c>
    </row>
    <row r="86" spans="4:27" x14ac:dyDescent="0.25">
      <c r="D86">
        <v>1</v>
      </c>
      <c r="F86">
        <f t="shared" ref="F86:F94" si="30">(F34-$N$78)^2</f>
        <v>0.18062499999999984</v>
      </c>
      <c r="I86">
        <f t="shared" ref="I86:K94" si="31">(I34-$N$78)^2</f>
        <v>2.0306249999999997</v>
      </c>
      <c r="J86">
        <f t="shared" si="31"/>
        <v>6.6306250000000011</v>
      </c>
      <c r="K86">
        <f t="shared" si="31"/>
        <v>2.4806250000000007</v>
      </c>
      <c r="N86">
        <f>SUM(E86:L86)</f>
        <v>11.322500000000002</v>
      </c>
    </row>
    <row r="87" spans="4:27" x14ac:dyDescent="0.25">
      <c r="D87">
        <v>2</v>
      </c>
      <c r="F87">
        <f t="shared" si="30"/>
        <v>4.3056250000000009</v>
      </c>
      <c r="I87">
        <f t="shared" si="31"/>
        <v>2.0306249999999997</v>
      </c>
      <c r="J87">
        <f t="shared" si="31"/>
        <v>0.33062500000000022</v>
      </c>
      <c r="K87">
        <f t="shared" si="31"/>
        <v>0.18062499999999984</v>
      </c>
      <c r="N87">
        <f>SUM(E87:L87)</f>
        <v>6.847500000000001</v>
      </c>
      <c r="R87">
        <v>4.5</v>
      </c>
      <c r="S87">
        <v>6</v>
      </c>
      <c r="T87">
        <v>4.5</v>
      </c>
      <c r="U87">
        <v>3</v>
      </c>
      <c r="V87">
        <v>2</v>
      </c>
      <c r="W87">
        <v>1</v>
      </c>
    </row>
    <row r="88" spans="4:27" x14ac:dyDescent="0.25">
      <c r="D88">
        <v>3</v>
      </c>
      <c r="F88">
        <f t="shared" si="30"/>
        <v>6.6306250000000011</v>
      </c>
      <c r="I88">
        <f t="shared" si="31"/>
        <v>5.8806249999999993</v>
      </c>
      <c r="J88">
        <f t="shared" si="31"/>
        <v>0.33062500000000022</v>
      </c>
      <c r="K88">
        <f t="shared" si="31"/>
        <v>2.0306249999999997</v>
      </c>
      <c r="N88">
        <f>SUM(E88:L88)</f>
        <v>14.872499999999999</v>
      </c>
      <c r="R88">
        <v>4</v>
      </c>
      <c r="S88">
        <v>6</v>
      </c>
      <c r="T88">
        <v>5</v>
      </c>
      <c r="U88">
        <v>3</v>
      </c>
      <c r="V88">
        <v>2</v>
      </c>
      <c r="W88">
        <v>1</v>
      </c>
    </row>
    <row r="89" spans="4:27" x14ac:dyDescent="0.25">
      <c r="D89">
        <v>4</v>
      </c>
      <c r="F89">
        <f t="shared" si="30"/>
        <v>2.4806250000000007</v>
      </c>
      <c r="I89">
        <f t="shared" si="31"/>
        <v>5.8806249999999993</v>
      </c>
      <c r="J89">
        <f t="shared" si="31"/>
        <v>0.33062500000000022</v>
      </c>
      <c r="K89">
        <f t="shared" si="31"/>
        <v>0.18062499999999984</v>
      </c>
      <c r="N89">
        <f>SUM(E89:L89)</f>
        <v>8.8724999999999987</v>
      </c>
      <c r="R89">
        <v>4</v>
      </c>
      <c r="S89">
        <v>6</v>
      </c>
      <c r="T89">
        <v>5</v>
      </c>
      <c r="U89">
        <v>2</v>
      </c>
      <c r="V89">
        <v>1</v>
      </c>
      <c r="W89">
        <v>3</v>
      </c>
    </row>
    <row r="90" spans="4:27" x14ac:dyDescent="0.25">
      <c r="D90">
        <v>5</v>
      </c>
      <c r="F90">
        <f t="shared" si="30"/>
        <v>6.6306250000000011</v>
      </c>
      <c r="I90">
        <f t="shared" si="31"/>
        <v>5.8806249999999993</v>
      </c>
      <c r="J90">
        <f t="shared" si="31"/>
        <v>0.18062499999999984</v>
      </c>
      <c r="K90">
        <f t="shared" si="31"/>
        <v>2.0306249999999997</v>
      </c>
      <c r="N90">
        <f>SUM(E90:L90)</f>
        <v>14.7225</v>
      </c>
      <c r="R90">
        <v>1</v>
      </c>
      <c r="S90">
        <v>5.5</v>
      </c>
      <c r="T90">
        <v>3</v>
      </c>
      <c r="U90">
        <v>2</v>
      </c>
      <c r="V90">
        <v>4</v>
      </c>
      <c r="W90">
        <v>5.5</v>
      </c>
    </row>
    <row r="91" spans="4:27" x14ac:dyDescent="0.25">
      <c r="D91">
        <v>6</v>
      </c>
      <c r="F91">
        <f t="shared" si="30"/>
        <v>11.730624999999998</v>
      </c>
      <c r="I91">
        <f t="shared" si="31"/>
        <v>11.730624999999998</v>
      </c>
      <c r="J91">
        <f t="shared" si="31"/>
        <v>11.730624999999998</v>
      </c>
      <c r="K91">
        <f t="shared" si="31"/>
        <v>11.730624999999998</v>
      </c>
      <c r="N91">
        <f t="shared" ref="N91:N94" si="32">SUM(E91:L91)</f>
        <v>46.922499999999992</v>
      </c>
    </row>
    <row r="92" spans="4:27" x14ac:dyDescent="0.25">
      <c r="D92">
        <v>7</v>
      </c>
      <c r="F92">
        <f t="shared" si="30"/>
        <v>11.730624999999998</v>
      </c>
      <c r="I92">
        <f t="shared" si="31"/>
        <v>11.730624999999998</v>
      </c>
      <c r="J92">
        <f t="shared" si="31"/>
        <v>11.730624999999998</v>
      </c>
      <c r="K92">
        <f t="shared" si="31"/>
        <v>11.730624999999998</v>
      </c>
      <c r="N92">
        <f t="shared" si="32"/>
        <v>46.922499999999992</v>
      </c>
    </row>
    <row r="93" spans="4:27" x14ac:dyDescent="0.25">
      <c r="D93">
        <v>8</v>
      </c>
      <c r="F93">
        <f t="shared" si="30"/>
        <v>11.730624999999998</v>
      </c>
      <c r="I93">
        <f t="shared" si="31"/>
        <v>11.730624999999998</v>
      </c>
      <c r="J93">
        <f t="shared" si="31"/>
        <v>11.730624999999998</v>
      </c>
      <c r="K93">
        <f t="shared" si="31"/>
        <v>11.730624999999998</v>
      </c>
      <c r="N93">
        <f t="shared" si="32"/>
        <v>46.922499999999992</v>
      </c>
    </row>
    <row r="94" spans="4:27" x14ac:dyDescent="0.25">
      <c r="D94">
        <v>9</v>
      </c>
      <c r="F94">
        <f t="shared" si="30"/>
        <v>11.730624999999998</v>
      </c>
      <c r="I94">
        <f t="shared" si="31"/>
        <v>11.730624999999998</v>
      </c>
      <c r="J94">
        <f t="shared" si="31"/>
        <v>11.730624999999998</v>
      </c>
      <c r="K94">
        <f t="shared" si="31"/>
        <v>11.730624999999998</v>
      </c>
      <c r="N94">
        <f t="shared" si="32"/>
        <v>46.922499999999992</v>
      </c>
      <c r="R94">
        <v>2.5</v>
      </c>
      <c r="S94">
        <v>5</v>
      </c>
      <c r="T94">
        <v>2.5</v>
      </c>
      <c r="U94">
        <v>1</v>
      </c>
      <c r="V94">
        <v>6</v>
      </c>
      <c r="W94">
        <v>4</v>
      </c>
    </row>
    <row r="95" spans="4:27" x14ac:dyDescent="0.25">
      <c r="N95" s="48">
        <f>SUM(N86:N94)</f>
        <v>244.32749999999996</v>
      </c>
      <c r="R95">
        <v>4</v>
      </c>
      <c r="S95">
        <v>5</v>
      </c>
      <c r="T95">
        <v>6</v>
      </c>
      <c r="U95">
        <v>1</v>
      </c>
      <c r="V95">
        <v>2.5</v>
      </c>
      <c r="W95">
        <v>2.5</v>
      </c>
    </row>
    <row r="96" spans="4:27" x14ac:dyDescent="0.25">
      <c r="O96" s="28"/>
      <c r="P96" s="8"/>
      <c r="Q96" s="8"/>
      <c r="R96" s="28">
        <v>3.5</v>
      </c>
      <c r="S96" s="28">
        <v>3.5</v>
      </c>
      <c r="T96" s="28">
        <v>3.5</v>
      </c>
      <c r="U96" s="28">
        <v>3.5</v>
      </c>
      <c r="V96" s="28">
        <v>3.5</v>
      </c>
      <c r="W96" s="28">
        <v>3.5</v>
      </c>
      <c r="X96" s="28"/>
      <c r="Y96" s="5"/>
      <c r="Z96" s="5"/>
      <c r="AA96" s="5"/>
    </row>
    <row r="97" spans="12:27" x14ac:dyDescent="0.25">
      <c r="N97">
        <f>N95/(M17*(M18-1))</f>
        <v>9.0491666666666646</v>
      </c>
      <c r="O97" s="28" t="s">
        <v>93</v>
      </c>
      <c r="P97" s="8">
        <v>0.05</v>
      </c>
      <c r="Q97" s="8">
        <v>0.01</v>
      </c>
      <c r="R97" s="28">
        <v>4.5</v>
      </c>
      <c r="S97" s="28">
        <v>6</v>
      </c>
      <c r="T97" s="28">
        <v>4.5</v>
      </c>
      <c r="U97" s="28">
        <v>2</v>
      </c>
      <c r="V97" s="28">
        <v>1</v>
      </c>
      <c r="W97" s="28">
        <v>3</v>
      </c>
      <c r="X97" s="28"/>
      <c r="AA97" s="5"/>
    </row>
    <row r="98" spans="12:27" x14ac:dyDescent="0.25">
      <c r="L98" t="s">
        <v>89</v>
      </c>
      <c r="N98" s="55">
        <f>N83/N97</f>
        <v>4.2476286950916302</v>
      </c>
      <c r="O98" s="28" t="s">
        <v>94</v>
      </c>
      <c r="P98" s="8">
        <f>_xlfn.CHISQ.INV.RT(P97,3)</f>
        <v>7.8147279032511792</v>
      </c>
      <c r="Q98" s="8"/>
      <c r="R98" s="28"/>
      <c r="S98" s="28"/>
      <c r="T98" s="28"/>
      <c r="U98" s="28"/>
      <c r="V98" s="28"/>
      <c r="W98" s="28"/>
      <c r="X98" s="28"/>
      <c r="AA98" s="5"/>
    </row>
    <row r="99" spans="12:27" x14ac:dyDescent="0.25">
      <c r="L99" t="s">
        <v>88</v>
      </c>
      <c r="N99">
        <f>((E71-1)*N98)/((E71*(E71-1))-N98)</f>
        <v>0.50154745739904849</v>
      </c>
      <c r="O99" s="28" t="s">
        <v>95</v>
      </c>
      <c r="P99" s="7">
        <f>_xlfn.CHISQ.INV.RT(Q97,3)</f>
        <v>11.344866730144371</v>
      </c>
      <c r="Q99" s="28"/>
      <c r="R99" s="28"/>
      <c r="S99" s="28"/>
      <c r="T99" s="28"/>
      <c r="U99" s="28"/>
      <c r="V99" s="28"/>
      <c r="W99" s="28"/>
      <c r="X99" s="28"/>
      <c r="AA99" s="5"/>
    </row>
    <row r="100" spans="12:27" x14ac:dyDescent="0.25">
      <c r="L100" t="s">
        <v>37</v>
      </c>
      <c r="N100" s="55">
        <f>_xlfn.CHISQ.DIST.RT(N98,3)</f>
        <v>0.2359364005744681</v>
      </c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AA100" s="5"/>
    </row>
    <row r="101" spans="12:27" x14ac:dyDescent="0.25">
      <c r="O101" s="28"/>
      <c r="P101" s="28"/>
      <c r="Q101" s="28"/>
      <c r="R101">
        <v>4.5</v>
      </c>
      <c r="S101">
        <v>4</v>
      </c>
      <c r="T101">
        <v>4</v>
      </c>
      <c r="U101">
        <v>1</v>
      </c>
      <c r="V101">
        <v>2.5</v>
      </c>
      <c r="W101">
        <v>4</v>
      </c>
      <c r="X101" s="28">
        <v>3.5</v>
      </c>
      <c r="Y101" s="28">
        <v>4.5</v>
      </c>
      <c r="AA101" s="5"/>
    </row>
    <row r="102" spans="12:27" ht="15.75" x14ac:dyDescent="0.25">
      <c r="L102" s="56" t="s">
        <v>90</v>
      </c>
      <c r="M102" s="56"/>
      <c r="N102" s="55">
        <f>_xlfn.CHISQ.DIST.RT(N99,3)</f>
        <v>0.91855131071873286</v>
      </c>
      <c r="O102" s="28" t="s">
        <v>91</v>
      </c>
      <c r="P102" s="28">
        <f>E72-1</f>
        <v>3</v>
      </c>
      <c r="Q102" s="28"/>
      <c r="R102">
        <v>6</v>
      </c>
      <c r="S102">
        <v>6</v>
      </c>
      <c r="T102">
        <v>6</v>
      </c>
      <c r="U102">
        <v>5.5</v>
      </c>
      <c r="V102">
        <v>5</v>
      </c>
      <c r="W102">
        <v>5</v>
      </c>
      <c r="X102" s="28">
        <v>3.5</v>
      </c>
      <c r="Y102" s="28">
        <v>6</v>
      </c>
      <c r="AA102" s="5"/>
    </row>
    <row r="103" spans="12:27" x14ac:dyDescent="0.25">
      <c r="O103" s="28" t="s">
        <v>92</v>
      </c>
      <c r="P103" s="28">
        <f>(E71-1)*(E72-1)</f>
        <v>24</v>
      </c>
      <c r="Q103" s="28"/>
      <c r="R103">
        <v>4.5</v>
      </c>
      <c r="S103">
        <v>5</v>
      </c>
      <c r="T103">
        <v>5</v>
      </c>
      <c r="U103">
        <v>3</v>
      </c>
      <c r="V103">
        <v>2.5</v>
      </c>
      <c r="W103">
        <v>6</v>
      </c>
      <c r="X103" s="28">
        <v>3.5</v>
      </c>
      <c r="Y103" s="28">
        <v>4.5</v>
      </c>
      <c r="AA103" s="5"/>
    </row>
    <row r="104" spans="12:27" x14ac:dyDescent="0.25">
      <c r="N104" s="5"/>
      <c r="O104" s="5"/>
      <c r="P104" s="5"/>
      <c r="Q104" s="5"/>
      <c r="R104">
        <v>3</v>
      </c>
      <c r="S104">
        <v>3</v>
      </c>
      <c r="T104">
        <v>2</v>
      </c>
      <c r="U104">
        <v>2</v>
      </c>
      <c r="V104">
        <v>1</v>
      </c>
      <c r="W104">
        <v>1</v>
      </c>
      <c r="X104" s="28">
        <v>3.5</v>
      </c>
      <c r="Y104" s="28">
        <v>2</v>
      </c>
      <c r="AA104" s="5"/>
    </row>
    <row r="105" spans="12:27" ht="15.75" thickBot="1" x14ac:dyDescent="0.3">
      <c r="N105" s="5"/>
      <c r="O105" s="5"/>
      <c r="P105" s="5"/>
      <c r="Q105" s="7"/>
      <c r="R105">
        <v>2</v>
      </c>
      <c r="S105">
        <v>2</v>
      </c>
      <c r="T105">
        <v>1</v>
      </c>
      <c r="U105">
        <v>4</v>
      </c>
      <c r="V105">
        <v>6</v>
      </c>
      <c r="W105">
        <v>2.5</v>
      </c>
      <c r="X105" s="28">
        <v>3.5</v>
      </c>
      <c r="Y105" s="28">
        <v>1</v>
      </c>
    </row>
    <row r="106" spans="12:27" ht="15.75" thickBot="1" x14ac:dyDescent="0.3">
      <c r="L106" t="s">
        <v>96</v>
      </c>
      <c r="N106" s="57" t="s">
        <v>182</v>
      </c>
      <c r="O106" s="58" t="s">
        <v>183</v>
      </c>
      <c r="P106" s="5"/>
      <c r="Q106" s="5"/>
      <c r="R106">
        <v>1</v>
      </c>
      <c r="S106">
        <v>1</v>
      </c>
      <c r="T106">
        <v>3</v>
      </c>
      <c r="U106">
        <v>5.5</v>
      </c>
      <c r="V106">
        <v>4</v>
      </c>
      <c r="W106">
        <v>2.5</v>
      </c>
      <c r="X106" s="28">
        <v>3.5</v>
      </c>
      <c r="Y106" s="28">
        <v>3</v>
      </c>
    </row>
    <row r="107" spans="12:27" ht="15.75" thickBot="1" x14ac:dyDescent="0.3">
      <c r="N107" s="59">
        <v>3.01</v>
      </c>
      <c r="O107" s="60">
        <v>3.16</v>
      </c>
      <c r="P107" s="5"/>
      <c r="Q107" s="5"/>
      <c r="R107" s="5"/>
      <c r="S107" s="5"/>
    </row>
    <row r="108" spans="12:27" x14ac:dyDescent="0.25">
      <c r="N108" s="5"/>
      <c r="O108" s="5"/>
      <c r="P108" s="5"/>
      <c r="Q108" s="5"/>
      <c r="R108" s="5"/>
      <c r="S108" s="5"/>
    </row>
    <row r="109" spans="12:27" x14ac:dyDescent="0.25">
      <c r="N109" s="5"/>
      <c r="O109" s="5"/>
      <c r="P109" s="5"/>
      <c r="Q109" s="5"/>
      <c r="R109" s="5">
        <v>3.5</v>
      </c>
      <c r="S109" s="5">
        <v>1</v>
      </c>
      <c r="T109">
        <v>3.5</v>
      </c>
      <c r="U109">
        <v>5</v>
      </c>
      <c r="V109">
        <v>6</v>
      </c>
      <c r="W109">
        <v>2</v>
      </c>
    </row>
    <row r="110" spans="12:27" x14ac:dyDescent="0.25">
      <c r="N110" s="4">
        <f>_xlfn.F.INV.RT(0.05,3,24)</f>
        <v>3.0087865704473615</v>
      </c>
      <c r="O110" s="4">
        <f>_xlfn.F.INV.RT(0.05,3,18)</f>
        <v>3.1599075898007243</v>
      </c>
      <c r="P110" s="5"/>
      <c r="Q110" s="5"/>
      <c r="R110" s="5">
        <v>6</v>
      </c>
      <c r="S110" s="5">
        <v>2</v>
      </c>
      <c r="T110">
        <v>4</v>
      </c>
      <c r="U110">
        <v>5</v>
      </c>
      <c r="V110">
        <v>3</v>
      </c>
      <c r="W110">
        <v>1</v>
      </c>
    </row>
    <row r="111" spans="12:27" x14ac:dyDescent="0.25">
      <c r="N111" s="5"/>
      <c r="O111" s="5"/>
      <c r="P111" s="5"/>
      <c r="Q111" s="5"/>
      <c r="R111" s="5">
        <v>6</v>
      </c>
      <c r="S111" s="5">
        <v>3</v>
      </c>
      <c r="T111">
        <v>4</v>
      </c>
      <c r="U111">
        <v>5</v>
      </c>
      <c r="V111">
        <v>2</v>
      </c>
      <c r="W111">
        <v>1</v>
      </c>
    </row>
    <row r="112" spans="12:27" ht="15.75" thickBot="1" x14ac:dyDescent="0.3">
      <c r="N112" s="4"/>
      <c r="O112" s="5"/>
      <c r="P112" s="5"/>
      <c r="Q112" s="5"/>
      <c r="R112" s="5">
        <v>5</v>
      </c>
      <c r="S112" s="5">
        <v>3</v>
      </c>
      <c r="T112">
        <v>2</v>
      </c>
      <c r="U112">
        <v>4</v>
      </c>
      <c r="V112">
        <v>6</v>
      </c>
      <c r="W112">
        <v>1</v>
      </c>
    </row>
    <row r="113" spans="4:23" ht="18" thickBot="1" x14ac:dyDescent="0.3">
      <c r="E113" s="61" t="s">
        <v>100</v>
      </c>
      <c r="F113" s="62">
        <v>2.85</v>
      </c>
      <c r="G113" s="118"/>
      <c r="H113" s="118"/>
      <c r="N113" s="5"/>
      <c r="O113" s="5"/>
      <c r="P113" s="5"/>
      <c r="Q113" s="5"/>
      <c r="R113" s="5">
        <v>6</v>
      </c>
      <c r="S113" s="5">
        <v>3</v>
      </c>
      <c r="T113">
        <v>4</v>
      </c>
      <c r="U113">
        <v>5</v>
      </c>
      <c r="V113">
        <v>1</v>
      </c>
      <c r="W113">
        <v>2</v>
      </c>
    </row>
    <row r="114" spans="4:23" x14ac:dyDescent="0.25">
      <c r="N114" s="5"/>
      <c r="O114" s="5"/>
      <c r="P114" s="5"/>
      <c r="Q114" s="5"/>
      <c r="R114" s="5"/>
      <c r="S114" s="5"/>
    </row>
    <row r="115" spans="4:23" x14ac:dyDescent="0.25">
      <c r="E115" t="s">
        <v>97</v>
      </c>
      <c r="I115">
        <f>SQRT(E45*(E72+1)/(6*E44))</f>
        <v>0.69006555934235425</v>
      </c>
      <c r="N115" s="5"/>
      <c r="O115" s="5"/>
      <c r="P115" s="5"/>
      <c r="Q115" s="5"/>
      <c r="R115" s="5">
        <v>3.5</v>
      </c>
      <c r="S115" s="5">
        <v>6</v>
      </c>
      <c r="T115" s="5">
        <v>6</v>
      </c>
      <c r="U115" s="5">
        <v>5</v>
      </c>
      <c r="V115" s="5">
        <v>6</v>
      </c>
    </row>
    <row r="116" spans="4:23" x14ac:dyDescent="0.25">
      <c r="N116" s="5"/>
      <c r="O116" s="5"/>
      <c r="P116" s="5"/>
      <c r="Q116" s="5"/>
      <c r="R116" s="5">
        <v>1</v>
      </c>
      <c r="S116" s="5">
        <v>2</v>
      </c>
      <c r="T116" s="5">
        <v>3</v>
      </c>
      <c r="U116" s="5">
        <v>3</v>
      </c>
      <c r="V116" s="5">
        <v>3</v>
      </c>
    </row>
    <row r="117" spans="4:23" x14ac:dyDescent="0.25">
      <c r="E117" t="s">
        <v>98</v>
      </c>
      <c r="F117">
        <f>F113*I115</f>
        <v>1.9666868441257097</v>
      </c>
      <c r="N117" s="5"/>
      <c r="O117" s="5"/>
      <c r="P117" s="5"/>
      <c r="Q117" s="5"/>
      <c r="R117">
        <v>3.5</v>
      </c>
      <c r="S117">
        <v>4</v>
      </c>
      <c r="T117">
        <v>4</v>
      </c>
      <c r="U117">
        <v>2</v>
      </c>
      <c r="V117">
        <v>4</v>
      </c>
    </row>
    <row r="118" spans="4:23" x14ac:dyDescent="0.25">
      <c r="E118" t="s">
        <v>99</v>
      </c>
      <c r="F118">
        <f>F113*SQRT(E72*(E72+1)/(6*E71))</f>
        <v>1.7344547654330262</v>
      </c>
      <c r="N118" s="5"/>
      <c r="O118" s="5"/>
      <c r="P118" s="5"/>
      <c r="Q118" s="5"/>
      <c r="R118">
        <v>5</v>
      </c>
      <c r="S118">
        <v>5</v>
      </c>
      <c r="T118">
        <v>5</v>
      </c>
      <c r="U118">
        <v>4</v>
      </c>
      <c r="V118">
        <v>5</v>
      </c>
    </row>
    <row r="119" spans="4:23" x14ac:dyDescent="0.25">
      <c r="N119" s="5"/>
      <c r="O119" s="5"/>
      <c r="P119" s="5"/>
      <c r="Q119" s="5"/>
      <c r="R119">
        <v>6</v>
      </c>
      <c r="S119">
        <v>3</v>
      </c>
      <c r="T119">
        <v>2</v>
      </c>
      <c r="U119">
        <v>6</v>
      </c>
      <c r="V119">
        <v>1</v>
      </c>
    </row>
    <row r="120" spans="4:23" x14ac:dyDescent="0.25">
      <c r="N120" s="5"/>
      <c r="O120" s="5"/>
      <c r="P120" s="5"/>
      <c r="Q120" s="5"/>
      <c r="R120">
        <v>2</v>
      </c>
      <c r="S120">
        <v>1</v>
      </c>
      <c r="T120">
        <v>1</v>
      </c>
      <c r="U120">
        <v>1</v>
      </c>
      <c r="V120">
        <v>2</v>
      </c>
    </row>
    <row r="121" spans="4:23" x14ac:dyDescent="0.25">
      <c r="N121" s="5"/>
      <c r="O121" s="5"/>
      <c r="P121" s="5"/>
      <c r="Q121" s="5"/>
      <c r="R121" s="5"/>
      <c r="S121" s="5"/>
    </row>
    <row r="122" spans="4:23" x14ac:dyDescent="0.25">
      <c r="E122" t="s">
        <v>101</v>
      </c>
      <c r="I122" t="s">
        <v>103</v>
      </c>
      <c r="J122">
        <v>0.48799999999999999</v>
      </c>
      <c r="N122" s="5"/>
      <c r="O122" s="5"/>
      <c r="P122" s="5"/>
      <c r="Q122" s="5"/>
      <c r="R122" s="5"/>
      <c r="S122" s="5"/>
    </row>
    <row r="123" spans="4:23" x14ac:dyDescent="0.25">
      <c r="N123" s="5"/>
      <c r="O123" s="5"/>
      <c r="P123" s="5"/>
      <c r="Q123" s="5"/>
      <c r="R123" s="5"/>
      <c r="S123" s="5"/>
    </row>
    <row r="124" spans="4:23" x14ac:dyDescent="0.25">
      <c r="D124" s="5"/>
      <c r="E124" t="s">
        <v>102</v>
      </c>
      <c r="F124">
        <v>3.1429999999999998</v>
      </c>
      <c r="I124">
        <f>(F124-F125)/J122</f>
        <v>2.4159836065573765</v>
      </c>
      <c r="S124" s="5"/>
    </row>
    <row r="125" spans="4:23" x14ac:dyDescent="0.25">
      <c r="E125" t="s">
        <v>38</v>
      </c>
      <c r="F125">
        <v>1.964</v>
      </c>
    </row>
    <row r="128" spans="4:23" x14ac:dyDescent="0.25">
      <c r="E128" t="s">
        <v>101</v>
      </c>
      <c r="I128" t="s">
        <v>103</v>
      </c>
      <c r="J128">
        <f>SQRT(E45*(E72+1)/(6*E44))</f>
        <v>0.69006555934235425</v>
      </c>
    </row>
    <row r="130" spans="4:33" x14ac:dyDescent="0.25">
      <c r="D130">
        <v>1</v>
      </c>
      <c r="E130" t="s">
        <v>67</v>
      </c>
      <c r="F130">
        <v>3.5</v>
      </c>
      <c r="I130">
        <f>(F131-F130)/J128</f>
        <v>2.7171331399105196</v>
      </c>
      <c r="J130">
        <f>(_xlfn.NORM.S.DIST(-1*I130,TRUE))*2</f>
        <v>6.5850112355295889E-3</v>
      </c>
      <c r="K130">
        <f>0.05/(4-D130)</f>
        <v>1.6666666666666666E-2</v>
      </c>
    </row>
    <row r="131" spans="4:33" x14ac:dyDescent="0.25">
      <c r="E131" t="s">
        <v>18</v>
      </c>
      <c r="F131">
        <v>5.375</v>
      </c>
    </row>
    <row r="140" spans="4:33" x14ac:dyDescent="0.25">
      <c r="U140" t="s">
        <v>136</v>
      </c>
    </row>
    <row r="141" spans="4:33" x14ac:dyDescent="0.25">
      <c r="E141">
        <v>1</v>
      </c>
      <c r="F141">
        <v>2</v>
      </c>
      <c r="I141">
        <v>3</v>
      </c>
      <c r="J141">
        <v>4</v>
      </c>
      <c r="K141">
        <v>5</v>
      </c>
      <c r="L141">
        <v>6</v>
      </c>
      <c r="O141" t="s">
        <v>119</v>
      </c>
      <c r="P141" t="s">
        <v>120</v>
      </c>
      <c r="Q141" t="s">
        <v>121</v>
      </c>
      <c r="R141" t="s">
        <v>122</v>
      </c>
      <c r="S141" t="s">
        <v>123</v>
      </c>
      <c r="T141" t="s">
        <v>124</v>
      </c>
      <c r="U141" t="s">
        <v>125</v>
      </c>
      <c r="V141" t="s">
        <v>126</v>
      </c>
      <c r="W141" t="s">
        <v>127</v>
      </c>
      <c r="X141" t="s">
        <v>128</v>
      </c>
      <c r="Y141" t="s">
        <v>129</v>
      </c>
      <c r="Z141" t="s">
        <v>130</v>
      </c>
      <c r="AA141" t="s">
        <v>131</v>
      </c>
      <c r="AB141" t="s">
        <v>132</v>
      </c>
      <c r="AC141" t="s">
        <v>133</v>
      </c>
      <c r="AE141" t="s">
        <v>134</v>
      </c>
      <c r="AF141" t="s">
        <v>135</v>
      </c>
    </row>
    <row r="142" spans="4:33" x14ac:dyDescent="0.25">
      <c r="D142" t="s">
        <v>111</v>
      </c>
      <c r="E142" t="s">
        <v>67</v>
      </c>
      <c r="F142" t="s">
        <v>18</v>
      </c>
      <c r="I142" t="s">
        <v>68</v>
      </c>
      <c r="J142" t="s">
        <v>65</v>
      </c>
      <c r="K142" t="s">
        <v>56</v>
      </c>
      <c r="L142" t="s">
        <v>85</v>
      </c>
      <c r="O142">
        <f>F143-E143</f>
        <v>1.875</v>
      </c>
      <c r="P142">
        <f>I143-E143</f>
        <v>0.75</v>
      </c>
      <c r="Q142">
        <f>E143-J143</f>
        <v>1.3125</v>
      </c>
      <c r="R142">
        <f>E143-K143</f>
        <v>0.75</v>
      </c>
      <c r="S142">
        <f>E143-L143</f>
        <v>0.5625</v>
      </c>
      <c r="T142">
        <f>F143-I143</f>
        <v>1.125</v>
      </c>
      <c r="U142" s="6">
        <f>F143-J143</f>
        <v>3.1875</v>
      </c>
      <c r="V142">
        <f>F143-K143</f>
        <v>2.625</v>
      </c>
      <c r="W142">
        <f>F143-L143</f>
        <v>2.4375</v>
      </c>
      <c r="X142">
        <f>I143-J143</f>
        <v>2.0625</v>
      </c>
      <c r="Y142">
        <f>I143-K143</f>
        <v>1.5</v>
      </c>
      <c r="Z142">
        <f>I143-L143</f>
        <v>1.3125</v>
      </c>
      <c r="AA142">
        <f>(J143-K143)*-1</f>
        <v>0.5625</v>
      </c>
      <c r="AB142">
        <f>(J143-L143)*-1</f>
        <v>0.75</v>
      </c>
      <c r="AC142">
        <f>(K143-L143)*-1</f>
        <v>0.1875</v>
      </c>
      <c r="AE142">
        <f>MAX(O142:AC142)</f>
        <v>3.1875</v>
      </c>
      <c r="AF142">
        <f>MIN(O142:AC142)</f>
        <v>0.1875</v>
      </c>
      <c r="AG142" s="3"/>
    </row>
    <row r="143" spans="4:33" x14ac:dyDescent="0.25">
      <c r="E143">
        <v>3.5</v>
      </c>
      <c r="F143">
        <v>5.375</v>
      </c>
      <c r="I143">
        <v>4.25</v>
      </c>
      <c r="J143">
        <v>2.1875</v>
      </c>
      <c r="K143">
        <v>2.75</v>
      </c>
      <c r="L143">
        <v>2.9375</v>
      </c>
    </row>
    <row r="146" spans="4:33" x14ac:dyDescent="0.25">
      <c r="O146" t="s">
        <v>113</v>
      </c>
      <c r="P146" t="s">
        <v>115</v>
      </c>
      <c r="Q146" t="s">
        <v>114</v>
      </c>
      <c r="R146" t="s">
        <v>116</v>
      </c>
      <c r="S146" t="s">
        <v>117</v>
      </c>
    </row>
    <row r="147" spans="4:33" x14ac:dyDescent="0.25">
      <c r="D147" t="s">
        <v>112</v>
      </c>
      <c r="E147" t="s">
        <v>67</v>
      </c>
      <c r="F147" t="s">
        <v>18</v>
      </c>
      <c r="I147" t="s">
        <v>68</v>
      </c>
      <c r="J147" t="s">
        <v>65</v>
      </c>
      <c r="K147" t="s">
        <v>56</v>
      </c>
      <c r="L147" t="s">
        <v>85</v>
      </c>
      <c r="O147">
        <f>(F148-E148)*-1</f>
        <v>2.9</v>
      </c>
      <c r="P147">
        <f>(I148-E148)*-1</f>
        <v>1.7999999999999998</v>
      </c>
      <c r="Q147">
        <f>E148-J148</f>
        <v>0.5</v>
      </c>
      <c r="R147">
        <f>E148-K148</f>
        <v>1.6999999999999997</v>
      </c>
      <c r="S147" s="6">
        <f>E148-L148</f>
        <v>3.9</v>
      </c>
      <c r="T147">
        <f>(F148-I148)*-1</f>
        <v>1.1000000000000001</v>
      </c>
      <c r="U147">
        <f>(F148-J148)*-1</f>
        <v>2.4</v>
      </c>
      <c r="V147">
        <f>(F148-K148)*-1</f>
        <v>1.2000000000000002</v>
      </c>
      <c r="W147">
        <f>F148-L148</f>
        <v>1</v>
      </c>
      <c r="X147">
        <f>(I148-J148)*-1</f>
        <v>1.2999999999999998</v>
      </c>
      <c r="Y147">
        <f>(I148-K148)*-1</f>
        <v>0.10000000000000009</v>
      </c>
      <c r="Z147">
        <f>I148-L148</f>
        <v>2.1</v>
      </c>
      <c r="AA147">
        <f>J148-K148</f>
        <v>1.1999999999999997</v>
      </c>
      <c r="AB147">
        <f>J148-L148</f>
        <v>3.4</v>
      </c>
      <c r="AC147">
        <f>K148-L148</f>
        <v>2.2000000000000002</v>
      </c>
      <c r="AE147">
        <f>MAX(O147:AC147)</f>
        <v>3.9</v>
      </c>
      <c r="AF147">
        <f>MIN(O147:AC147)</f>
        <v>0.10000000000000009</v>
      </c>
      <c r="AG147" s="3"/>
    </row>
    <row r="148" spans="4:33" x14ac:dyDescent="0.25">
      <c r="E148">
        <v>5.3</v>
      </c>
      <c r="F148">
        <v>2.4</v>
      </c>
      <c r="I148">
        <v>3.5</v>
      </c>
      <c r="J148">
        <v>4.8</v>
      </c>
      <c r="K148">
        <v>3.6</v>
      </c>
      <c r="L148">
        <v>1.4</v>
      </c>
    </row>
    <row r="156" spans="4:33" x14ac:dyDescent="0.25">
      <c r="E156" s="16" t="s">
        <v>84</v>
      </c>
    </row>
    <row r="159" spans="4:33" x14ac:dyDescent="0.25">
      <c r="E159" s="11" t="s">
        <v>69</v>
      </c>
      <c r="F159" s="40"/>
      <c r="G159" s="40"/>
      <c r="H159" s="40"/>
      <c r="I159" s="102" t="s">
        <v>18</v>
      </c>
      <c r="J159" s="102" t="s">
        <v>57</v>
      </c>
      <c r="K159" s="102" t="s">
        <v>65</v>
      </c>
      <c r="L159" s="86" t="s">
        <v>85</v>
      </c>
      <c r="M159" s="102"/>
      <c r="N159" s="29"/>
    </row>
    <row r="160" spans="4:33" x14ac:dyDescent="0.25">
      <c r="D160">
        <v>1</v>
      </c>
      <c r="E160" s="19" t="s">
        <v>48</v>
      </c>
      <c r="G160" t="str">
        <f t="shared" ref="G160:L160" si="33">CONCATENATE(ROUND(F4,2)," (",F23,")")</f>
        <v>73.28 (5)</v>
      </c>
      <c r="H160" t="str">
        <f t="shared" si="33"/>
        <v>72.47 (6)</v>
      </c>
      <c r="I160" t="str">
        <f t="shared" si="33"/>
        <v>89.67 (3)</v>
      </c>
      <c r="J160" t="str">
        <f t="shared" si="33"/>
        <v>85.1 (4)</v>
      </c>
      <c r="K160" t="str">
        <f t="shared" si="33"/>
        <v>89.79 (2)</v>
      </c>
      <c r="L160" t="str">
        <f t="shared" si="33"/>
        <v>91.7 (1)</v>
      </c>
    </row>
    <row r="161" spans="4:14" x14ac:dyDescent="0.25">
      <c r="D161">
        <v>2</v>
      </c>
      <c r="E161" s="19" t="s">
        <v>49</v>
      </c>
      <c r="G161" t="str">
        <f t="shared" ref="G161:L161" si="34">CONCATENATE(ROUND(F5,2)," (",F24,")")</f>
        <v>72.73 (5)</v>
      </c>
      <c r="H161" t="str">
        <f t="shared" si="34"/>
        <v>72.48 (6)</v>
      </c>
      <c r="I161" t="str">
        <f t="shared" si="34"/>
        <v>85.65 (4)</v>
      </c>
      <c r="J161" t="str">
        <f t="shared" si="34"/>
        <v>87.43 (2)</v>
      </c>
      <c r="K161" t="str">
        <f t="shared" si="34"/>
        <v>85.69 (3)</v>
      </c>
      <c r="L161" t="str">
        <f t="shared" si="34"/>
        <v>91.23 (1)</v>
      </c>
    </row>
    <row r="162" spans="4:14" x14ac:dyDescent="0.25">
      <c r="D162">
        <v>3</v>
      </c>
      <c r="E162" s="75" t="s">
        <v>173</v>
      </c>
      <c r="G162" t="str">
        <f t="shared" ref="G162:L162" si="35">CONCATENATE(ROUND(F6,2)," (",F25,")")</f>
        <v>80.27 (6)</v>
      </c>
      <c r="H162" t="str">
        <f t="shared" si="35"/>
        <v>80.33 (5)</v>
      </c>
      <c r="I162" t="str">
        <f t="shared" si="35"/>
        <v>81.3 (3)</v>
      </c>
      <c r="J162" t="str">
        <f t="shared" si="35"/>
        <v>81.41 (2)</v>
      </c>
      <c r="K162" t="str">
        <f t="shared" si="35"/>
        <v>81.45 (1)</v>
      </c>
      <c r="L162" t="str">
        <f t="shared" si="35"/>
        <v>81.18 (4)</v>
      </c>
    </row>
    <row r="163" spans="4:14" x14ac:dyDescent="0.25">
      <c r="D163">
        <v>4</v>
      </c>
      <c r="E163" s="19" t="s">
        <v>51</v>
      </c>
      <c r="G163" t="str">
        <f t="shared" ref="G163:L163" si="36">CONCATENATE(ROUND(F7,2)," (",F26,")")</f>
        <v>73.68 (2)</v>
      </c>
      <c r="H163" t="str">
        <f t="shared" si="36"/>
        <v>72.4 (5)</v>
      </c>
      <c r="I163" t="str">
        <f t="shared" si="36"/>
        <v>73.58 (3)</v>
      </c>
      <c r="J163" t="str">
        <f t="shared" si="36"/>
        <v>71.2 (6)</v>
      </c>
      <c r="K163" t="str">
        <f t="shared" si="36"/>
        <v>73.73 (1)</v>
      </c>
      <c r="L163" t="str">
        <f t="shared" si="36"/>
        <v>73.51 (4)</v>
      </c>
    </row>
    <row r="164" spans="4:14" x14ac:dyDescent="0.25">
      <c r="D164">
        <v>5</v>
      </c>
      <c r="E164" s="19" t="s">
        <v>52</v>
      </c>
      <c r="G164" t="str">
        <f t="shared" ref="G164:L164" si="37">CONCATENATE(ROUND(F8,2)," (",F27,")")</f>
        <v>93.8 (1.5)</v>
      </c>
      <c r="H164" t="str">
        <f t="shared" si="37"/>
        <v>92.99 (4)</v>
      </c>
      <c r="I164" t="str">
        <f t="shared" si="37"/>
        <v>88.71 (5)</v>
      </c>
      <c r="J164" t="str">
        <f t="shared" si="37"/>
        <v>84.87 (6)</v>
      </c>
      <c r="K164" t="str">
        <f t="shared" si="37"/>
        <v>93.79 (3)</v>
      </c>
      <c r="L164" t="str">
        <f t="shared" si="37"/>
        <v>93.8 (1.5)</v>
      </c>
    </row>
    <row r="165" spans="4:14" x14ac:dyDescent="0.25">
      <c r="D165">
        <v>6</v>
      </c>
      <c r="E165" s="19" t="s">
        <v>53</v>
      </c>
      <c r="G165" t="str">
        <f t="shared" ref="G165:L165" si="38">CONCATENATE(ROUND(F9,2)," (",F28,")")</f>
        <v>88.07 (4)</v>
      </c>
      <c r="H165" t="str">
        <f t="shared" si="38"/>
        <v>87.96 (5)</v>
      </c>
      <c r="I165" t="str">
        <f t="shared" si="38"/>
        <v>88.19 (3)</v>
      </c>
      <c r="J165" t="str">
        <f t="shared" si="38"/>
        <v>87.6 (6)</v>
      </c>
      <c r="K165" t="str">
        <f t="shared" si="38"/>
        <v>88.69 (1)</v>
      </c>
      <c r="L165" t="str">
        <f t="shared" si="38"/>
        <v>88.54 (2)</v>
      </c>
    </row>
    <row r="166" spans="4:14" x14ac:dyDescent="0.25">
      <c r="D166">
        <v>7</v>
      </c>
      <c r="E166" s="19" t="s">
        <v>55</v>
      </c>
      <c r="G166" t="str">
        <f t="shared" ref="G166:L166" si="39">CONCATENATE(ROUND(F10,2)," (",F29,")")</f>
        <v>88.06 (5)</v>
      </c>
      <c r="H166" t="str">
        <f t="shared" si="39"/>
        <v>86.43 (6)</v>
      </c>
      <c r="I166" t="str">
        <f t="shared" si="39"/>
        <v>94.49 (2)</v>
      </c>
      <c r="J166" t="str">
        <f t="shared" si="39"/>
        <v>91.77 (4)</v>
      </c>
      <c r="K166" t="str">
        <f t="shared" si="39"/>
        <v>94.48 (3)</v>
      </c>
      <c r="L166" t="str">
        <f t="shared" si="39"/>
        <v>94.59 (1)</v>
      </c>
    </row>
    <row r="169" spans="4:14" x14ac:dyDescent="0.25">
      <c r="E169" s="11" t="s">
        <v>69</v>
      </c>
      <c r="F169" s="40"/>
      <c r="G169" s="40"/>
      <c r="H169" s="40"/>
      <c r="I169" s="102" t="s">
        <v>18</v>
      </c>
      <c r="J169" s="102" t="s">
        <v>57</v>
      </c>
      <c r="K169" s="102" t="s">
        <v>65</v>
      </c>
      <c r="L169" s="86" t="s">
        <v>85</v>
      </c>
      <c r="M169" s="102"/>
      <c r="N169" s="29"/>
    </row>
    <row r="170" spans="4:14" x14ac:dyDescent="0.25">
      <c r="D170">
        <v>1</v>
      </c>
      <c r="E170" s="88" t="s">
        <v>76</v>
      </c>
      <c r="F170" s="33"/>
      <c r="G170" t="str">
        <f t="shared" ref="G170:K170" si="40">CONCATENATE(ROUND(F14,2)," (",F34,")")</f>
        <v>89.79 (3)</v>
      </c>
      <c r="H170" t="str">
        <f t="shared" si="40"/>
        <v>91.24 (1)</v>
      </c>
      <c r="I170" t="str">
        <f t="shared" si="40"/>
        <v>89.78 (4)</v>
      </c>
      <c r="J170" t="str">
        <f t="shared" si="40"/>
        <v>90.28 (2)</v>
      </c>
      <c r="K170" t="str">
        <f t="shared" si="40"/>
        <v>89.74 (6)</v>
      </c>
      <c r="L170" t="str">
        <f>CONCATENATE(ROUND(K14,2)," (",K34,")")</f>
        <v>89.76 (5)</v>
      </c>
    </row>
    <row r="171" spans="4:14" x14ac:dyDescent="0.25">
      <c r="D171">
        <v>2</v>
      </c>
      <c r="E171" s="88" t="s">
        <v>75</v>
      </c>
      <c r="G171" t="str">
        <f t="shared" ref="G171:L171" si="41">CONCATENATE(ROUND(F15,2)," (",F35,")")</f>
        <v>54.38 (5.5)</v>
      </c>
      <c r="H171" t="str">
        <f t="shared" si="41"/>
        <v>86.2 (1)</v>
      </c>
      <c r="I171" t="str">
        <f t="shared" si="41"/>
        <v>54.38 (5.5)</v>
      </c>
      <c r="J171" t="str">
        <f t="shared" si="41"/>
        <v>86.12 (2)</v>
      </c>
      <c r="K171" t="str">
        <f t="shared" si="41"/>
        <v>55.08 (4)</v>
      </c>
      <c r="L171" t="str">
        <f t="shared" si="41"/>
        <v>81.23 (3)</v>
      </c>
    </row>
    <row r="172" spans="4:14" x14ac:dyDescent="0.25">
      <c r="D172">
        <v>3</v>
      </c>
      <c r="E172" s="75" t="s">
        <v>169</v>
      </c>
      <c r="G172" t="str">
        <f t="shared" ref="G172:L172" si="42">CONCATENATE(ROUND(F16,2)," (",F36,")")</f>
        <v>74.14 (6)</v>
      </c>
      <c r="H172" t="str">
        <f t="shared" si="42"/>
        <v>86.67 (3)</v>
      </c>
      <c r="I172" t="str">
        <f t="shared" si="42"/>
        <v>78.91 (5)</v>
      </c>
      <c r="J172" t="str">
        <f t="shared" si="42"/>
        <v>88.03 (1)</v>
      </c>
      <c r="K172" t="str">
        <f t="shared" si="42"/>
        <v>80.92 (4)</v>
      </c>
      <c r="L172" t="str">
        <f t="shared" si="42"/>
        <v>87.87 (2)</v>
      </c>
    </row>
    <row r="173" spans="4:14" x14ac:dyDescent="0.25">
      <c r="D173">
        <v>4</v>
      </c>
      <c r="E173" s="19" t="s">
        <v>170</v>
      </c>
      <c r="G173" t="str">
        <f t="shared" ref="G173:L173" si="43">CONCATENATE(ROUND(F17,2)," (",F37,")")</f>
        <v>87.57 (5)</v>
      </c>
      <c r="H173" t="str">
        <f t="shared" si="43"/>
        <v>88.7 (2)</v>
      </c>
      <c r="I173" t="str">
        <f t="shared" si="43"/>
        <v>86.47 (6)</v>
      </c>
      <c r="J173" t="str">
        <f t="shared" si="43"/>
        <v>92.81 (1)</v>
      </c>
      <c r="K173" t="str">
        <f t="shared" si="43"/>
        <v>88 (4)</v>
      </c>
      <c r="L173" t="str">
        <f t="shared" si="43"/>
        <v>88.42 (3)</v>
      </c>
    </row>
    <row r="174" spans="4:14" x14ac:dyDescent="0.25">
      <c r="D174">
        <v>5</v>
      </c>
      <c r="E174" s="19" t="s">
        <v>171</v>
      </c>
      <c r="G174" t="str">
        <f t="shared" ref="G174:L174" si="44">CONCATENATE(ROUND(F18,2)," (",F38,")")</f>
        <v>43.88 (6)</v>
      </c>
      <c r="H174" t="str">
        <f t="shared" si="44"/>
        <v>77.5 (4)</v>
      </c>
      <c r="I174" t="str">
        <f t="shared" si="44"/>
        <v>70.92 (5)</v>
      </c>
      <c r="J174" t="str">
        <f t="shared" si="44"/>
        <v>90.08 (1)</v>
      </c>
      <c r="K174" t="str">
        <f t="shared" si="44"/>
        <v>77.7 (3)</v>
      </c>
      <c r="L174" t="str">
        <f t="shared" si="44"/>
        <v>87.25 (2)</v>
      </c>
    </row>
    <row r="175" spans="4:14" x14ac:dyDescent="0.25">
      <c r="E175" s="100"/>
    </row>
    <row r="176" spans="4:14" x14ac:dyDescent="0.25">
      <c r="E176" s="88"/>
    </row>
    <row r="177" spans="5:5" x14ac:dyDescent="0.25">
      <c r="E177" s="95"/>
    </row>
    <row r="178" spans="5:5" x14ac:dyDescent="0.25">
      <c r="E178" s="8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HDWM_PostHoc</vt:lpstr>
      <vt:lpstr>Demsar</vt:lpstr>
      <vt:lpstr>HDWM</vt:lpstr>
      <vt:lpstr>HDWM-Family</vt:lpstr>
      <vt:lpstr>HDWM_Family_PostHoc</vt:lpstr>
      <vt:lpstr>HDWM-DWM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University of Dammam</cp:lastModifiedBy>
  <dcterms:created xsi:type="dcterms:W3CDTF">2016-09-05T15:15:15Z</dcterms:created>
  <dcterms:modified xsi:type="dcterms:W3CDTF">2016-12-20T10:03:43Z</dcterms:modified>
</cp:coreProperties>
</file>