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 activeTab="3"/>
  </bookViews>
  <sheets>
    <sheet name="Contents" sheetId="1" r:id="rId1"/>
    <sheet name="tab01" sheetId="2" r:id="rId2"/>
    <sheet name="tab02" sheetId="3" r:id="rId3"/>
    <sheet name="tab3" sheetId="4" r:id="rId4"/>
    <sheet name="tab4" sheetId="5" r:id="rId5"/>
    <sheet name="tab5" sheetId="6" r:id="rId6"/>
    <sheet name="tab6" sheetId="7" r:id="rId7"/>
    <sheet name="tab7" sheetId="8" r:id="rId8"/>
    <sheet name="tab8" sheetId="9" r:id="rId9"/>
    <sheet name="tab 9" sheetId="10" r:id="rId10"/>
  </sheets>
  <externalReferences>
    <externalReference r:id="rId11"/>
  </externalReferences>
  <definedNames>
    <definedName name="_xlnm.Print_Area" localSheetId="9">'tab 9'!$A$1:$P$128</definedName>
    <definedName name="_xlnm.Print_Area" localSheetId="1">'tab01'!$A$1:$D$98</definedName>
    <definedName name="_xlnm.Print_Area" localSheetId="2">'tab02'!$A$1:$H$69</definedName>
    <definedName name="_xlnm.Print_Area" localSheetId="3">'tab3'!$A$1:$L$49</definedName>
    <definedName name="_xlnm.Print_Area" localSheetId="4">'tab4'!$A$1:$L$49</definedName>
    <definedName name="_xlnm.Print_Area" localSheetId="5">'tab5'!$A$1:$L$48</definedName>
    <definedName name="_xlnm.Print_Area" localSheetId="6">'tab6'!$A$77:$J$157</definedName>
    <definedName name="_xlnm.Print_Area" localSheetId="7">'tab7'!$A$1:$J$93</definedName>
    <definedName name="_xlnm.Print_Area" localSheetId="8">'tab8'!$A$1:$K$93</definedName>
    <definedName name="_xlnm.Print_Titles" localSheetId="6">'tab6'!$1:$6</definedName>
    <definedName name="WASDE_Updated" localSheetId="0">Contents!#REF!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8" i="4"/>
  <c r="N8" i="4"/>
  <c r="J123" i="10" l="1"/>
  <c r="G123" i="10"/>
  <c r="D123" i="10"/>
  <c r="J122" i="10"/>
  <c r="K122" i="10" s="1"/>
  <c r="O122" i="10" s="1"/>
  <c r="G122" i="10"/>
  <c r="D122" i="10"/>
  <c r="J121" i="10"/>
  <c r="G121" i="10"/>
  <c r="D121" i="10"/>
  <c r="J120" i="10"/>
  <c r="G120" i="10"/>
  <c r="D120" i="10"/>
  <c r="J119" i="10"/>
  <c r="G119" i="10"/>
  <c r="D119" i="10"/>
  <c r="K119" i="10" s="1"/>
  <c r="K118" i="10"/>
  <c r="O118" i="10" s="1"/>
  <c r="J118" i="10"/>
  <c r="G118" i="10"/>
  <c r="D118" i="10"/>
  <c r="J117" i="10"/>
  <c r="G117" i="10"/>
  <c r="D117" i="10"/>
  <c r="J116" i="10"/>
  <c r="G116" i="10"/>
  <c r="D116" i="10"/>
  <c r="J115" i="10"/>
  <c r="G115" i="10"/>
  <c r="D115" i="10"/>
  <c r="J114" i="10"/>
  <c r="K114" i="10" s="1"/>
  <c r="O114" i="10" s="1"/>
  <c r="G114" i="10"/>
  <c r="D114" i="10"/>
  <c r="J113" i="10"/>
  <c r="G113" i="10"/>
  <c r="D113" i="10"/>
  <c r="J112" i="10"/>
  <c r="G112" i="10"/>
  <c r="D112" i="10"/>
  <c r="J111" i="10"/>
  <c r="G111" i="10"/>
  <c r="D111" i="10"/>
  <c r="N109" i="10"/>
  <c r="I109" i="10"/>
  <c r="H109" i="10"/>
  <c r="F109" i="10"/>
  <c r="E109" i="10"/>
  <c r="G109" i="10" s="1"/>
  <c r="C109" i="10"/>
  <c r="D109" i="10" s="1"/>
  <c r="B109" i="10"/>
  <c r="H108" i="10"/>
  <c r="J108" i="10" s="1"/>
  <c r="G108" i="10"/>
  <c r="E108" i="10"/>
  <c r="B108" i="10"/>
  <c r="D108" i="10" s="1"/>
  <c r="H107" i="10"/>
  <c r="J107" i="10" s="1"/>
  <c r="E107" i="10"/>
  <c r="G107" i="10" s="1"/>
  <c r="B107" i="10"/>
  <c r="D107" i="10" s="1"/>
  <c r="H106" i="10"/>
  <c r="J106" i="10" s="1"/>
  <c r="E106" i="10"/>
  <c r="G106" i="10" s="1"/>
  <c r="B106" i="10"/>
  <c r="D106" i="10" s="1"/>
  <c r="J105" i="10"/>
  <c r="H105" i="10"/>
  <c r="E105" i="10"/>
  <c r="G105" i="10" s="1"/>
  <c r="B105" i="10"/>
  <c r="D105" i="10" s="1"/>
  <c r="H104" i="10"/>
  <c r="J104" i="10" s="1"/>
  <c r="E104" i="10"/>
  <c r="G104" i="10" s="1"/>
  <c r="B104" i="10"/>
  <c r="D104" i="10" s="1"/>
  <c r="J103" i="10"/>
  <c r="H103" i="10"/>
  <c r="E103" i="10"/>
  <c r="G103" i="10" s="1"/>
  <c r="B103" i="10"/>
  <c r="D103" i="10" s="1"/>
  <c r="H102" i="10"/>
  <c r="J102" i="10" s="1"/>
  <c r="E102" i="10"/>
  <c r="G102" i="10" s="1"/>
  <c r="B102" i="10"/>
  <c r="D102" i="10" s="1"/>
  <c r="K102" i="10" s="1"/>
  <c r="O102" i="10" s="1"/>
  <c r="H101" i="10"/>
  <c r="J101" i="10" s="1"/>
  <c r="G101" i="10"/>
  <c r="E101" i="10"/>
  <c r="B101" i="10"/>
  <c r="D101" i="10" s="1"/>
  <c r="K101" i="10" s="1"/>
  <c r="O101" i="10" s="1"/>
  <c r="J100" i="10"/>
  <c r="H100" i="10"/>
  <c r="E100" i="10"/>
  <c r="G100" i="10" s="1"/>
  <c r="K100" i="10" s="1"/>
  <c r="O100" i="10" s="1"/>
  <c r="B100" i="10"/>
  <c r="D100" i="10" s="1"/>
  <c r="H99" i="10"/>
  <c r="J99" i="10" s="1"/>
  <c r="E99" i="10"/>
  <c r="G99" i="10" s="1"/>
  <c r="B99" i="10"/>
  <c r="D99" i="10" s="1"/>
  <c r="K99" i="10" s="1"/>
  <c r="O99" i="10" s="1"/>
  <c r="H98" i="10"/>
  <c r="J98" i="10" s="1"/>
  <c r="G98" i="10"/>
  <c r="E98" i="10"/>
  <c r="B98" i="10"/>
  <c r="D98" i="10" s="1"/>
  <c r="H97" i="10"/>
  <c r="J97" i="10" s="1"/>
  <c r="G97" i="10"/>
  <c r="E97" i="10"/>
  <c r="B97" i="10"/>
  <c r="D97" i="10" s="1"/>
  <c r="N95" i="10"/>
  <c r="J95" i="10"/>
  <c r="I95" i="10"/>
  <c r="H95" i="10"/>
  <c r="F95" i="10"/>
  <c r="E95" i="10"/>
  <c r="C95" i="10"/>
  <c r="B95" i="10"/>
  <c r="H94" i="10"/>
  <c r="J94" i="10" s="1"/>
  <c r="G94" i="10"/>
  <c r="E94" i="10"/>
  <c r="B94" i="10"/>
  <c r="D94" i="10" s="1"/>
  <c r="H93" i="10"/>
  <c r="J93" i="10" s="1"/>
  <c r="G93" i="10"/>
  <c r="E93" i="10"/>
  <c r="B93" i="10"/>
  <c r="D93" i="10" s="1"/>
  <c r="J92" i="10"/>
  <c r="H92" i="10"/>
  <c r="E92" i="10"/>
  <c r="G92" i="10" s="1"/>
  <c r="D92" i="10"/>
  <c r="B92" i="10"/>
  <c r="H91" i="10"/>
  <c r="J91" i="10" s="1"/>
  <c r="E91" i="10"/>
  <c r="G91" i="10" s="1"/>
  <c r="D91" i="10"/>
  <c r="B91" i="10"/>
  <c r="H90" i="10"/>
  <c r="J90" i="10" s="1"/>
  <c r="E90" i="10"/>
  <c r="G90" i="10" s="1"/>
  <c r="D90" i="10"/>
  <c r="B90" i="10"/>
  <c r="H89" i="10"/>
  <c r="J89" i="10" s="1"/>
  <c r="G89" i="10"/>
  <c r="E89" i="10"/>
  <c r="B89" i="10"/>
  <c r="D89" i="10" s="1"/>
  <c r="H88" i="10"/>
  <c r="J88" i="10" s="1"/>
  <c r="E88" i="10"/>
  <c r="G88" i="10" s="1"/>
  <c r="D88" i="10"/>
  <c r="B88" i="10"/>
  <c r="H87" i="10"/>
  <c r="J87" i="10" s="1"/>
  <c r="E87" i="10"/>
  <c r="G87" i="10" s="1"/>
  <c r="D87" i="10"/>
  <c r="B87" i="10"/>
  <c r="J86" i="10"/>
  <c r="H86" i="10"/>
  <c r="E86" i="10"/>
  <c r="G86" i="10" s="1"/>
  <c r="B86" i="10"/>
  <c r="D86" i="10" s="1"/>
  <c r="J85" i="10"/>
  <c r="H85" i="10"/>
  <c r="E85" i="10"/>
  <c r="G85" i="10" s="1"/>
  <c r="B85" i="10"/>
  <c r="D85" i="10" s="1"/>
  <c r="H84" i="10"/>
  <c r="J84" i="10" s="1"/>
  <c r="K84" i="10" s="1"/>
  <c r="E84" i="10"/>
  <c r="G84" i="10" s="1"/>
  <c r="D84" i="10"/>
  <c r="B84" i="10"/>
  <c r="H83" i="10"/>
  <c r="J83" i="10" s="1"/>
  <c r="G83" i="10"/>
  <c r="E83" i="10"/>
  <c r="B83" i="10"/>
  <c r="D83" i="10" s="1"/>
  <c r="N81" i="10"/>
  <c r="J81" i="10"/>
  <c r="I81" i="10"/>
  <c r="H81" i="10"/>
  <c r="G81" i="10"/>
  <c r="F81" i="10"/>
  <c r="E81" i="10"/>
  <c r="C81" i="10"/>
  <c r="B81" i="10"/>
  <c r="D81" i="10" s="1"/>
  <c r="H80" i="10"/>
  <c r="J80" i="10" s="1"/>
  <c r="E80" i="10"/>
  <c r="G80" i="10" s="1"/>
  <c r="B80" i="10"/>
  <c r="D80" i="10" s="1"/>
  <c r="H79" i="10"/>
  <c r="J79" i="10" s="1"/>
  <c r="E79" i="10"/>
  <c r="G79" i="10" s="1"/>
  <c r="B79" i="10"/>
  <c r="D79" i="10" s="1"/>
  <c r="H78" i="10"/>
  <c r="J78" i="10" s="1"/>
  <c r="E78" i="10"/>
  <c r="G78" i="10" s="1"/>
  <c r="B78" i="10"/>
  <c r="D78" i="10" s="1"/>
  <c r="J77" i="10"/>
  <c r="H77" i="10"/>
  <c r="E77" i="10"/>
  <c r="G77" i="10" s="1"/>
  <c r="D77" i="10"/>
  <c r="B77" i="10"/>
  <c r="H76" i="10"/>
  <c r="J76" i="10" s="1"/>
  <c r="E76" i="10"/>
  <c r="G76" i="10" s="1"/>
  <c r="D76" i="10"/>
  <c r="B76" i="10"/>
  <c r="H75" i="10"/>
  <c r="J75" i="10" s="1"/>
  <c r="E75" i="10"/>
  <c r="G75" i="10" s="1"/>
  <c r="D75" i="10"/>
  <c r="B75" i="10"/>
  <c r="H74" i="10"/>
  <c r="J74" i="10" s="1"/>
  <c r="G74" i="10"/>
  <c r="E74" i="10"/>
  <c r="B74" i="10"/>
  <c r="D74" i="10" s="1"/>
  <c r="H73" i="10"/>
  <c r="J73" i="10" s="1"/>
  <c r="E73" i="10"/>
  <c r="G73" i="10" s="1"/>
  <c r="D73" i="10"/>
  <c r="B73" i="10"/>
  <c r="H72" i="10"/>
  <c r="J72" i="10" s="1"/>
  <c r="G72" i="10"/>
  <c r="E72" i="10"/>
  <c r="B72" i="10"/>
  <c r="D72" i="10" s="1"/>
  <c r="H71" i="10"/>
  <c r="J71" i="10" s="1"/>
  <c r="E71" i="10"/>
  <c r="G71" i="10" s="1"/>
  <c r="B71" i="10"/>
  <c r="D71" i="10" s="1"/>
  <c r="H70" i="10"/>
  <c r="J70" i="10" s="1"/>
  <c r="G70" i="10"/>
  <c r="E70" i="10"/>
  <c r="B70" i="10"/>
  <c r="D70" i="10" s="1"/>
  <c r="J69" i="10"/>
  <c r="H69" i="10"/>
  <c r="E69" i="10"/>
  <c r="G69" i="10" s="1"/>
  <c r="D69" i="10"/>
  <c r="B69" i="10"/>
  <c r="N67" i="10"/>
  <c r="I67" i="10"/>
  <c r="H67" i="10"/>
  <c r="F67" i="10"/>
  <c r="E67" i="10"/>
  <c r="C67" i="10"/>
  <c r="B67" i="10"/>
  <c r="D67" i="10" s="1"/>
  <c r="J66" i="10"/>
  <c r="H66" i="10"/>
  <c r="E66" i="10"/>
  <c r="G66" i="10" s="1"/>
  <c r="B66" i="10"/>
  <c r="D66" i="10" s="1"/>
  <c r="H65" i="10"/>
  <c r="J65" i="10" s="1"/>
  <c r="E65" i="10"/>
  <c r="G65" i="10" s="1"/>
  <c r="B65" i="10"/>
  <c r="D65" i="10" s="1"/>
  <c r="H64" i="10"/>
  <c r="J64" i="10" s="1"/>
  <c r="E64" i="10"/>
  <c r="G64" i="10" s="1"/>
  <c r="B64" i="10"/>
  <c r="D64" i="10" s="1"/>
  <c r="H63" i="10"/>
  <c r="J63" i="10" s="1"/>
  <c r="G63" i="10"/>
  <c r="E63" i="10"/>
  <c r="B63" i="10"/>
  <c r="D63" i="10" s="1"/>
  <c r="J62" i="10"/>
  <c r="H62" i="10"/>
  <c r="E62" i="10"/>
  <c r="G62" i="10" s="1"/>
  <c r="B62" i="10"/>
  <c r="D62" i="10" s="1"/>
  <c r="H61" i="10"/>
  <c r="J61" i="10" s="1"/>
  <c r="E61" i="10"/>
  <c r="G61" i="10" s="1"/>
  <c r="B61" i="10"/>
  <c r="D61" i="10" s="1"/>
  <c r="H60" i="10"/>
  <c r="J60" i="10" s="1"/>
  <c r="E60" i="10"/>
  <c r="G60" i="10" s="1"/>
  <c r="B60" i="10"/>
  <c r="D60" i="10" s="1"/>
  <c r="H59" i="10"/>
  <c r="J59" i="10" s="1"/>
  <c r="G59" i="10"/>
  <c r="E59" i="10"/>
  <c r="B59" i="10"/>
  <c r="D59" i="10" s="1"/>
  <c r="J58" i="10"/>
  <c r="H58" i="10"/>
  <c r="E58" i="10"/>
  <c r="G58" i="10" s="1"/>
  <c r="B58" i="10"/>
  <c r="D58" i="10" s="1"/>
  <c r="H57" i="10"/>
  <c r="J57" i="10" s="1"/>
  <c r="E57" i="10"/>
  <c r="G57" i="10" s="1"/>
  <c r="D57" i="10"/>
  <c r="B57" i="10"/>
  <c r="H56" i="10"/>
  <c r="J56" i="10" s="1"/>
  <c r="E56" i="10"/>
  <c r="G56" i="10" s="1"/>
  <c r="D56" i="10"/>
  <c r="B56" i="10"/>
  <c r="H55" i="10"/>
  <c r="J55" i="10" s="1"/>
  <c r="E55" i="10"/>
  <c r="G55" i="10" s="1"/>
  <c r="B55" i="10"/>
  <c r="D55" i="10" s="1"/>
  <c r="N53" i="10"/>
  <c r="I53" i="10"/>
  <c r="H53" i="10"/>
  <c r="F53" i="10"/>
  <c r="E53" i="10"/>
  <c r="G53" i="10" s="1"/>
  <c r="C53" i="10"/>
  <c r="D53" i="10" s="1"/>
  <c r="B53" i="10"/>
  <c r="H52" i="10"/>
  <c r="J52" i="10" s="1"/>
  <c r="G52" i="10"/>
  <c r="E52" i="10"/>
  <c r="B52" i="10"/>
  <c r="D52" i="10" s="1"/>
  <c r="H51" i="10"/>
  <c r="J51" i="10" s="1"/>
  <c r="E51" i="10"/>
  <c r="G51" i="10" s="1"/>
  <c r="B51" i="10"/>
  <c r="D51" i="10" s="1"/>
  <c r="H50" i="10"/>
  <c r="J50" i="10" s="1"/>
  <c r="E50" i="10"/>
  <c r="G50" i="10" s="1"/>
  <c r="D50" i="10"/>
  <c r="B50" i="10"/>
  <c r="H49" i="10"/>
  <c r="J49" i="10" s="1"/>
  <c r="E49" i="10"/>
  <c r="G49" i="10" s="1"/>
  <c r="D49" i="10"/>
  <c r="B49" i="10"/>
  <c r="H48" i="10"/>
  <c r="J48" i="10" s="1"/>
  <c r="G48" i="10"/>
  <c r="E48" i="10"/>
  <c r="B48" i="10"/>
  <c r="D48" i="10" s="1"/>
  <c r="H47" i="10"/>
  <c r="J47" i="10" s="1"/>
  <c r="E47" i="10"/>
  <c r="G47" i="10" s="1"/>
  <c r="B47" i="10"/>
  <c r="D47" i="10" s="1"/>
  <c r="H46" i="10"/>
  <c r="J46" i="10" s="1"/>
  <c r="E46" i="10"/>
  <c r="G46" i="10" s="1"/>
  <c r="B46" i="10"/>
  <c r="D46" i="10" s="1"/>
  <c r="H45" i="10"/>
  <c r="J45" i="10" s="1"/>
  <c r="G45" i="10"/>
  <c r="E45" i="10"/>
  <c r="B45" i="10"/>
  <c r="D45" i="10" s="1"/>
  <c r="H44" i="10"/>
  <c r="J44" i="10" s="1"/>
  <c r="E44" i="10"/>
  <c r="G44" i="10" s="1"/>
  <c r="B44" i="10"/>
  <c r="D44" i="10" s="1"/>
  <c r="J43" i="10"/>
  <c r="H43" i="10"/>
  <c r="E43" i="10"/>
  <c r="G43" i="10" s="1"/>
  <c r="B43" i="10"/>
  <c r="D43" i="10" s="1"/>
  <c r="H42" i="10"/>
  <c r="J42" i="10" s="1"/>
  <c r="E42" i="10"/>
  <c r="G42" i="10" s="1"/>
  <c r="B42" i="10"/>
  <c r="D42" i="10" s="1"/>
  <c r="H41" i="10"/>
  <c r="J41" i="10" s="1"/>
  <c r="E41" i="10"/>
  <c r="G41" i="10" s="1"/>
  <c r="B41" i="10"/>
  <c r="D41" i="10" s="1"/>
  <c r="N39" i="10"/>
  <c r="J39" i="10"/>
  <c r="I39" i="10"/>
  <c r="H39" i="10"/>
  <c r="F39" i="10"/>
  <c r="E39" i="10"/>
  <c r="G39" i="10" s="1"/>
  <c r="C39" i="10"/>
  <c r="B39" i="10"/>
  <c r="D39" i="10" s="1"/>
  <c r="H38" i="10"/>
  <c r="J38" i="10" s="1"/>
  <c r="E38" i="10"/>
  <c r="G38" i="10" s="1"/>
  <c r="B38" i="10"/>
  <c r="D38" i="10" s="1"/>
  <c r="J37" i="10"/>
  <c r="H37" i="10"/>
  <c r="E37" i="10"/>
  <c r="G37" i="10" s="1"/>
  <c r="B37" i="10"/>
  <c r="D37" i="10" s="1"/>
  <c r="H36" i="10"/>
  <c r="J36" i="10" s="1"/>
  <c r="E36" i="10"/>
  <c r="G36" i="10" s="1"/>
  <c r="B36" i="10"/>
  <c r="D36" i="10" s="1"/>
  <c r="H35" i="10"/>
  <c r="J35" i="10" s="1"/>
  <c r="E35" i="10"/>
  <c r="G35" i="10" s="1"/>
  <c r="B35" i="10"/>
  <c r="D35" i="10" s="1"/>
  <c r="H34" i="10"/>
  <c r="J34" i="10" s="1"/>
  <c r="G34" i="10"/>
  <c r="E34" i="10"/>
  <c r="B34" i="10"/>
  <c r="D34" i="10" s="1"/>
  <c r="H33" i="10"/>
  <c r="J33" i="10" s="1"/>
  <c r="E33" i="10"/>
  <c r="G33" i="10" s="1"/>
  <c r="D33" i="10"/>
  <c r="B33" i="10"/>
  <c r="H32" i="10"/>
  <c r="J32" i="10" s="1"/>
  <c r="E32" i="10"/>
  <c r="G32" i="10" s="1"/>
  <c r="D32" i="10"/>
  <c r="B32" i="10"/>
  <c r="H31" i="10"/>
  <c r="J31" i="10" s="1"/>
  <c r="E31" i="10"/>
  <c r="G31" i="10" s="1"/>
  <c r="D31" i="10"/>
  <c r="B31" i="10"/>
  <c r="H30" i="10"/>
  <c r="J30" i="10" s="1"/>
  <c r="E30" i="10"/>
  <c r="G30" i="10" s="1"/>
  <c r="B30" i="10"/>
  <c r="D30" i="10" s="1"/>
  <c r="H29" i="10"/>
  <c r="J29" i="10" s="1"/>
  <c r="E29" i="10"/>
  <c r="G29" i="10" s="1"/>
  <c r="B29" i="10"/>
  <c r="D29" i="10" s="1"/>
  <c r="H28" i="10"/>
  <c r="J28" i="10" s="1"/>
  <c r="E28" i="10"/>
  <c r="G28" i="10" s="1"/>
  <c r="B28" i="10"/>
  <c r="D28" i="10" s="1"/>
  <c r="H27" i="10"/>
  <c r="J27" i="10" s="1"/>
  <c r="E27" i="10"/>
  <c r="G27" i="10" s="1"/>
  <c r="B27" i="10"/>
  <c r="D27" i="10" s="1"/>
  <c r="H24" i="10"/>
  <c r="J24" i="10" s="1"/>
  <c r="G24" i="10"/>
  <c r="E24" i="10"/>
  <c r="B24" i="10"/>
  <c r="D24" i="10" s="1"/>
  <c r="K24" i="10" s="1"/>
  <c r="O24" i="10" s="1"/>
  <c r="J23" i="10"/>
  <c r="H23" i="10"/>
  <c r="E23" i="10"/>
  <c r="G23" i="10" s="1"/>
  <c r="B23" i="10"/>
  <c r="D23" i="10" s="1"/>
  <c r="H22" i="10"/>
  <c r="J22" i="10" s="1"/>
  <c r="E22" i="10"/>
  <c r="G22" i="10" s="1"/>
  <c r="B22" i="10"/>
  <c r="D22" i="10" s="1"/>
  <c r="J21" i="10"/>
  <c r="H21" i="10"/>
  <c r="E21" i="10"/>
  <c r="G21" i="10" s="1"/>
  <c r="B21" i="10"/>
  <c r="D21" i="10" s="1"/>
  <c r="J20" i="10"/>
  <c r="H20" i="10"/>
  <c r="G20" i="10"/>
  <c r="E20" i="10"/>
  <c r="B20" i="10"/>
  <c r="D20" i="10" s="1"/>
  <c r="K20" i="10" s="1"/>
  <c r="E19" i="10"/>
  <c r="G19" i="10" s="1"/>
  <c r="B19" i="10"/>
  <c r="D19" i="10" s="1"/>
  <c r="E18" i="10"/>
  <c r="G18" i="10" s="1"/>
  <c r="B18" i="10"/>
  <c r="D18" i="10" s="1"/>
  <c r="K18" i="10" s="1"/>
  <c r="E17" i="10"/>
  <c r="G17" i="10" s="1"/>
  <c r="B17" i="10"/>
  <c r="D17" i="10" s="1"/>
  <c r="G16" i="10"/>
  <c r="K16" i="10" s="1"/>
  <c r="E16" i="10"/>
  <c r="B16" i="10"/>
  <c r="D16" i="10" s="1"/>
  <c r="G15" i="10"/>
  <c r="E15" i="10"/>
  <c r="B15" i="10"/>
  <c r="D15" i="10" s="1"/>
  <c r="E14" i="10"/>
  <c r="G14" i="10" s="1"/>
  <c r="B14" i="10"/>
  <c r="D14" i="10" s="1"/>
  <c r="G13" i="10"/>
  <c r="E13" i="10"/>
  <c r="B13" i="10"/>
  <c r="D13" i="10" s="1"/>
  <c r="G12" i="10"/>
  <c r="E12" i="10"/>
  <c r="B12" i="10"/>
  <c r="D12" i="10" s="1"/>
  <c r="G11" i="10"/>
  <c r="D11" i="10"/>
  <c r="G10" i="10"/>
  <c r="D10" i="10"/>
  <c r="K10" i="10" s="1"/>
  <c r="O10" i="10" s="1"/>
  <c r="G9" i="10"/>
  <c r="D9" i="10"/>
  <c r="I90" i="9"/>
  <c r="H90" i="9"/>
  <c r="D90" i="9"/>
  <c r="C90" i="9"/>
  <c r="E89" i="9"/>
  <c r="J89" i="9" s="1"/>
  <c r="G89" i="9" s="1"/>
  <c r="E88" i="9"/>
  <c r="J88" i="9" s="1"/>
  <c r="G88" i="9" s="1"/>
  <c r="E87" i="9"/>
  <c r="J87" i="9" s="1"/>
  <c r="G87" i="9" s="1"/>
  <c r="E86" i="9"/>
  <c r="J86" i="9" s="1"/>
  <c r="G86" i="9" s="1"/>
  <c r="E85" i="9"/>
  <c r="J85" i="9" s="1"/>
  <c r="G85" i="9" s="1"/>
  <c r="J84" i="9"/>
  <c r="G84" i="9" s="1"/>
  <c r="E84" i="9"/>
  <c r="E83" i="9"/>
  <c r="J83" i="9" s="1"/>
  <c r="G83" i="9" s="1"/>
  <c r="E82" i="9"/>
  <c r="J82" i="9" s="1"/>
  <c r="G82" i="9" s="1"/>
  <c r="E81" i="9"/>
  <c r="J81" i="9" s="1"/>
  <c r="G81" i="9" s="1"/>
  <c r="E80" i="9"/>
  <c r="J80" i="9" s="1"/>
  <c r="G80" i="9" s="1"/>
  <c r="E79" i="9"/>
  <c r="J79" i="9" s="1"/>
  <c r="G79" i="9" s="1"/>
  <c r="E78" i="9"/>
  <c r="J78" i="9" s="1"/>
  <c r="H76" i="9"/>
  <c r="C76" i="9"/>
  <c r="K75" i="9"/>
  <c r="I75" i="9"/>
  <c r="D75" i="9"/>
  <c r="K74" i="9"/>
  <c r="B75" i="9" s="1"/>
  <c r="I74" i="9"/>
  <c r="D74" i="9"/>
  <c r="K73" i="9"/>
  <c r="B74" i="9" s="1"/>
  <c r="E74" i="9" s="1"/>
  <c r="J74" i="9" s="1"/>
  <c r="G74" i="9" s="1"/>
  <c r="I73" i="9"/>
  <c r="D73" i="9"/>
  <c r="K72" i="9"/>
  <c r="B73" i="9" s="1"/>
  <c r="I72" i="9"/>
  <c r="D72" i="9"/>
  <c r="K71" i="9"/>
  <c r="B72" i="9" s="1"/>
  <c r="I71" i="9"/>
  <c r="D71" i="9"/>
  <c r="K70" i="9"/>
  <c r="B71" i="9" s="1"/>
  <c r="E71" i="9" s="1"/>
  <c r="J71" i="9" s="1"/>
  <c r="G71" i="9" s="1"/>
  <c r="I70" i="9"/>
  <c r="D70" i="9"/>
  <c r="K69" i="9"/>
  <c r="B70" i="9" s="1"/>
  <c r="E70" i="9" s="1"/>
  <c r="I69" i="9"/>
  <c r="D69" i="9"/>
  <c r="K68" i="9"/>
  <c r="B69" i="9" s="1"/>
  <c r="I68" i="9"/>
  <c r="D68" i="9"/>
  <c r="K67" i="9"/>
  <c r="B68" i="9" s="1"/>
  <c r="E68" i="9" s="1"/>
  <c r="J68" i="9" s="1"/>
  <c r="G68" i="9" s="1"/>
  <c r="I67" i="9"/>
  <c r="D67" i="9"/>
  <c r="K66" i="9"/>
  <c r="B67" i="9" s="1"/>
  <c r="I66" i="9"/>
  <c r="D66" i="9"/>
  <c r="K65" i="9"/>
  <c r="B66" i="9" s="1"/>
  <c r="E66" i="9" s="1"/>
  <c r="J66" i="9" s="1"/>
  <c r="I65" i="9"/>
  <c r="D65" i="9"/>
  <c r="K64" i="9"/>
  <c r="B65" i="9" s="1"/>
  <c r="I64" i="9"/>
  <c r="D64" i="9"/>
  <c r="D76" i="9" s="1"/>
  <c r="E76" i="9" s="1"/>
  <c r="H62" i="9"/>
  <c r="C62" i="9"/>
  <c r="I61" i="9"/>
  <c r="E61" i="9"/>
  <c r="J61" i="9" s="1"/>
  <c r="G61" i="9" s="1"/>
  <c r="D61" i="9"/>
  <c r="B61" i="9"/>
  <c r="I60" i="9"/>
  <c r="D60" i="9"/>
  <c r="B60" i="9"/>
  <c r="K59" i="9"/>
  <c r="I59" i="9"/>
  <c r="D59" i="9"/>
  <c r="K58" i="9"/>
  <c r="B59" i="9" s="1"/>
  <c r="I58" i="9"/>
  <c r="D58" i="9"/>
  <c r="K57" i="9"/>
  <c r="B58" i="9" s="1"/>
  <c r="E58" i="9" s="1"/>
  <c r="J58" i="9" s="1"/>
  <c r="G58" i="9" s="1"/>
  <c r="I57" i="9"/>
  <c r="D57" i="9"/>
  <c r="K56" i="9"/>
  <c r="B57" i="9" s="1"/>
  <c r="E57" i="9" s="1"/>
  <c r="I56" i="9"/>
  <c r="D56" i="9"/>
  <c r="K55" i="9"/>
  <c r="B56" i="9" s="1"/>
  <c r="E56" i="9" s="1"/>
  <c r="I55" i="9"/>
  <c r="D55" i="9"/>
  <c r="K54" i="9"/>
  <c r="B55" i="9" s="1"/>
  <c r="I54" i="9"/>
  <c r="E54" i="9"/>
  <c r="J54" i="9" s="1"/>
  <c r="G54" i="9" s="1"/>
  <c r="D54" i="9"/>
  <c r="B54" i="9"/>
  <c r="K53" i="9"/>
  <c r="I53" i="9"/>
  <c r="D53" i="9"/>
  <c r="K52" i="9"/>
  <c r="B53" i="9" s="1"/>
  <c r="I52" i="9"/>
  <c r="D52" i="9"/>
  <c r="B52" i="9"/>
  <c r="K51" i="9"/>
  <c r="I51" i="9"/>
  <c r="D51" i="9"/>
  <c r="K50" i="9"/>
  <c r="B51" i="9" s="1"/>
  <c r="I50" i="9"/>
  <c r="D50" i="9"/>
  <c r="H48" i="9"/>
  <c r="C48" i="9"/>
  <c r="K47" i="9"/>
  <c r="B50" i="9" s="1"/>
  <c r="I47" i="9"/>
  <c r="D47" i="9"/>
  <c r="K46" i="9"/>
  <c r="B47" i="9" s="1"/>
  <c r="I46" i="9"/>
  <c r="D46" i="9"/>
  <c r="K45" i="9"/>
  <c r="B46" i="9" s="1"/>
  <c r="E46" i="9" s="1"/>
  <c r="J46" i="9" s="1"/>
  <c r="G46" i="9" s="1"/>
  <c r="I45" i="9"/>
  <c r="D45" i="9"/>
  <c r="B45" i="9"/>
  <c r="E45" i="9" s="1"/>
  <c r="K44" i="9"/>
  <c r="I44" i="9"/>
  <c r="D44" i="9"/>
  <c r="K43" i="9"/>
  <c r="B44" i="9" s="1"/>
  <c r="E44" i="9" s="1"/>
  <c r="J44" i="9" s="1"/>
  <c r="G44" i="9" s="1"/>
  <c r="I43" i="9"/>
  <c r="D43" i="9"/>
  <c r="K42" i="9"/>
  <c r="B43" i="9" s="1"/>
  <c r="E43" i="9" s="1"/>
  <c r="J43" i="9" s="1"/>
  <c r="G43" i="9" s="1"/>
  <c r="I42" i="9"/>
  <c r="D42" i="9"/>
  <c r="K41" i="9"/>
  <c r="B42" i="9" s="1"/>
  <c r="I41" i="9"/>
  <c r="D41" i="9"/>
  <c r="K40" i="9"/>
  <c r="B41" i="9" s="1"/>
  <c r="I40" i="9"/>
  <c r="D40" i="9"/>
  <c r="K39" i="9"/>
  <c r="B40" i="9" s="1"/>
  <c r="I39" i="9"/>
  <c r="D39" i="9"/>
  <c r="K38" i="9"/>
  <c r="B39" i="9" s="1"/>
  <c r="I38" i="9"/>
  <c r="D38" i="9"/>
  <c r="K37" i="9"/>
  <c r="B38" i="9" s="1"/>
  <c r="I37" i="9"/>
  <c r="D37" i="9"/>
  <c r="B37" i="9"/>
  <c r="E37" i="9" s="1"/>
  <c r="J37" i="9" s="1"/>
  <c r="G37" i="9" s="1"/>
  <c r="K36" i="9"/>
  <c r="I36" i="9"/>
  <c r="D36" i="9"/>
  <c r="H34" i="9"/>
  <c r="C34" i="9"/>
  <c r="K33" i="9"/>
  <c r="B36" i="9" s="1"/>
  <c r="I33" i="9"/>
  <c r="D33" i="9"/>
  <c r="K32" i="9"/>
  <c r="B33" i="9" s="1"/>
  <c r="E33" i="9" s="1"/>
  <c r="J33" i="9" s="1"/>
  <c r="I32" i="9"/>
  <c r="D32" i="9"/>
  <c r="K31" i="9"/>
  <c r="B32" i="9" s="1"/>
  <c r="I31" i="9"/>
  <c r="D31" i="9"/>
  <c r="K30" i="9"/>
  <c r="B31" i="9" s="1"/>
  <c r="E31" i="9" s="1"/>
  <c r="J31" i="9" s="1"/>
  <c r="G31" i="9" s="1"/>
  <c r="I30" i="9"/>
  <c r="D30" i="9"/>
  <c r="K29" i="9"/>
  <c r="B30" i="9" s="1"/>
  <c r="E30" i="9" s="1"/>
  <c r="J30" i="9" s="1"/>
  <c r="I29" i="9"/>
  <c r="D29" i="9"/>
  <c r="K28" i="9"/>
  <c r="B29" i="9" s="1"/>
  <c r="I28" i="9"/>
  <c r="D28" i="9"/>
  <c r="K27" i="9"/>
  <c r="B28" i="9" s="1"/>
  <c r="E28" i="9" s="1"/>
  <c r="J28" i="9" s="1"/>
  <c r="I27" i="9"/>
  <c r="D27" i="9"/>
  <c r="K26" i="9"/>
  <c r="B27" i="9" s="1"/>
  <c r="I26" i="9"/>
  <c r="D26" i="9"/>
  <c r="B26" i="9"/>
  <c r="E26" i="9" s="1"/>
  <c r="J26" i="9" s="1"/>
  <c r="K25" i="9"/>
  <c r="I25" i="9"/>
  <c r="D25" i="9"/>
  <c r="K24" i="9"/>
  <c r="B25" i="9" s="1"/>
  <c r="E25" i="9" s="1"/>
  <c r="J25" i="9" s="1"/>
  <c r="I24" i="9"/>
  <c r="D24" i="9"/>
  <c r="K23" i="9"/>
  <c r="B24" i="9" s="1"/>
  <c r="I23" i="9"/>
  <c r="D23" i="9"/>
  <c r="K22" i="9"/>
  <c r="B23" i="9" s="1"/>
  <c r="E23" i="9" s="1"/>
  <c r="J23" i="9" s="1"/>
  <c r="G23" i="9" s="1"/>
  <c r="I22" i="9"/>
  <c r="D22" i="9"/>
  <c r="H20" i="9"/>
  <c r="C20" i="9"/>
  <c r="K19" i="9"/>
  <c r="B22" i="9" s="1"/>
  <c r="I19" i="9"/>
  <c r="D19" i="9"/>
  <c r="K18" i="9"/>
  <c r="B19" i="9" s="1"/>
  <c r="E19" i="9" s="1"/>
  <c r="J19" i="9" s="1"/>
  <c r="G19" i="9" s="1"/>
  <c r="I18" i="9"/>
  <c r="D18" i="9"/>
  <c r="K17" i="9"/>
  <c r="B18" i="9" s="1"/>
  <c r="I17" i="9"/>
  <c r="D17" i="9"/>
  <c r="B17" i="9"/>
  <c r="E17" i="9" s="1"/>
  <c r="J17" i="9" s="1"/>
  <c r="G17" i="9" s="1"/>
  <c r="K16" i="9"/>
  <c r="I16" i="9"/>
  <c r="D16" i="9"/>
  <c r="K15" i="9"/>
  <c r="B16" i="9" s="1"/>
  <c r="E16" i="9" s="1"/>
  <c r="J16" i="9" s="1"/>
  <c r="G16" i="9" s="1"/>
  <c r="I15" i="9"/>
  <c r="D15" i="9"/>
  <c r="K14" i="9"/>
  <c r="B15" i="9" s="1"/>
  <c r="I14" i="9"/>
  <c r="D14" i="9"/>
  <c r="K13" i="9"/>
  <c r="B14" i="9" s="1"/>
  <c r="E14" i="9" s="1"/>
  <c r="J14" i="9" s="1"/>
  <c r="I13" i="9"/>
  <c r="D13" i="9"/>
  <c r="K12" i="9"/>
  <c r="B13" i="9" s="1"/>
  <c r="E13" i="9" s="1"/>
  <c r="J13" i="9" s="1"/>
  <c r="I12" i="9"/>
  <c r="D12" i="9"/>
  <c r="K11" i="9"/>
  <c r="B12" i="9" s="1"/>
  <c r="I11" i="9"/>
  <c r="E11" i="9"/>
  <c r="J11" i="9" s="1"/>
  <c r="G11" i="9" s="1"/>
  <c r="D11" i="9"/>
  <c r="B11" i="9"/>
  <c r="K10" i="9"/>
  <c r="I10" i="9"/>
  <c r="D10" i="9"/>
  <c r="K9" i="9"/>
  <c r="B10" i="9" s="1"/>
  <c r="E10" i="9" s="1"/>
  <c r="J10" i="9" s="1"/>
  <c r="I9" i="9"/>
  <c r="D9" i="9"/>
  <c r="K8" i="9"/>
  <c r="B9" i="9" s="1"/>
  <c r="I8" i="9"/>
  <c r="D8" i="9"/>
  <c r="B8" i="9"/>
  <c r="J89" i="8"/>
  <c r="H89" i="8"/>
  <c r="D89" i="8"/>
  <c r="C89" i="8"/>
  <c r="J88" i="8"/>
  <c r="B89" i="8" s="1"/>
  <c r="E89" i="8" s="1"/>
  <c r="I89" i="8" s="1"/>
  <c r="G89" i="8" s="1"/>
  <c r="H88" i="8"/>
  <c r="D88" i="8"/>
  <c r="C88" i="8"/>
  <c r="J87" i="8"/>
  <c r="B88" i="8" s="1"/>
  <c r="E88" i="8" s="1"/>
  <c r="I88" i="8" s="1"/>
  <c r="G88" i="8" s="1"/>
  <c r="H87" i="8"/>
  <c r="D87" i="8"/>
  <c r="C87" i="8"/>
  <c r="J86" i="8"/>
  <c r="B87" i="8" s="1"/>
  <c r="H86" i="8"/>
  <c r="D86" i="8"/>
  <c r="C86" i="8"/>
  <c r="J85" i="8"/>
  <c r="B86" i="8" s="1"/>
  <c r="H85" i="8"/>
  <c r="D85" i="8"/>
  <c r="C85" i="8"/>
  <c r="J84" i="8"/>
  <c r="B85" i="8" s="1"/>
  <c r="H84" i="8"/>
  <c r="D84" i="8"/>
  <c r="C84" i="8"/>
  <c r="J83" i="8"/>
  <c r="B84" i="8" s="1"/>
  <c r="H83" i="8"/>
  <c r="D83" i="8"/>
  <c r="C83" i="8"/>
  <c r="J82" i="8"/>
  <c r="B83" i="8" s="1"/>
  <c r="H82" i="8"/>
  <c r="D82" i="8"/>
  <c r="C82" i="8"/>
  <c r="J81" i="8"/>
  <c r="B82" i="8" s="1"/>
  <c r="E82" i="8" s="1"/>
  <c r="I82" i="8" s="1"/>
  <c r="G82" i="8" s="1"/>
  <c r="H81" i="8"/>
  <c r="D81" i="8"/>
  <c r="C81" i="8"/>
  <c r="J80" i="8"/>
  <c r="B81" i="8" s="1"/>
  <c r="E81" i="8" s="1"/>
  <c r="I81" i="8" s="1"/>
  <c r="G81" i="8" s="1"/>
  <c r="H80" i="8"/>
  <c r="D80" i="8"/>
  <c r="C80" i="8"/>
  <c r="J79" i="8"/>
  <c r="B80" i="8" s="1"/>
  <c r="E80" i="8" s="1"/>
  <c r="I80" i="8" s="1"/>
  <c r="G80" i="8" s="1"/>
  <c r="H79" i="8"/>
  <c r="D79" i="8"/>
  <c r="C79" i="8"/>
  <c r="J78" i="8"/>
  <c r="B79" i="8" s="1"/>
  <c r="H78" i="8"/>
  <c r="D78" i="8"/>
  <c r="D90" i="8" s="1"/>
  <c r="C78" i="8"/>
  <c r="B78" i="8"/>
  <c r="J75" i="8"/>
  <c r="H75" i="8"/>
  <c r="D75" i="8"/>
  <c r="C75" i="8"/>
  <c r="J74" i="8"/>
  <c r="B75" i="8" s="1"/>
  <c r="H74" i="8"/>
  <c r="D74" i="8"/>
  <c r="C74" i="8"/>
  <c r="J73" i="8"/>
  <c r="B74" i="8" s="1"/>
  <c r="H73" i="8"/>
  <c r="D73" i="8"/>
  <c r="C73" i="8"/>
  <c r="J72" i="8"/>
  <c r="B73" i="8" s="1"/>
  <c r="H72" i="8"/>
  <c r="D72" i="8"/>
  <c r="C72" i="8"/>
  <c r="J71" i="8"/>
  <c r="B72" i="8" s="1"/>
  <c r="H71" i="8"/>
  <c r="D71" i="8"/>
  <c r="C71" i="8"/>
  <c r="J70" i="8"/>
  <c r="B71" i="8" s="1"/>
  <c r="H70" i="8"/>
  <c r="D70" i="8"/>
  <c r="C70" i="8"/>
  <c r="J69" i="8"/>
  <c r="B70" i="8" s="1"/>
  <c r="E70" i="8" s="1"/>
  <c r="I70" i="8" s="1"/>
  <c r="H69" i="8"/>
  <c r="D69" i="8"/>
  <c r="C69" i="8"/>
  <c r="J68" i="8"/>
  <c r="B69" i="8" s="1"/>
  <c r="E69" i="8" s="1"/>
  <c r="I69" i="8" s="1"/>
  <c r="G69" i="8" s="1"/>
  <c r="H68" i="8"/>
  <c r="D68" i="8"/>
  <c r="C68" i="8"/>
  <c r="J67" i="8"/>
  <c r="B68" i="8" s="1"/>
  <c r="E68" i="8" s="1"/>
  <c r="I68" i="8" s="1"/>
  <c r="G68" i="8" s="1"/>
  <c r="H67" i="8"/>
  <c r="D67" i="8"/>
  <c r="C67" i="8"/>
  <c r="J66" i="8"/>
  <c r="B67" i="8" s="1"/>
  <c r="H66" i="8"/>
  <c r="D66" i="8"/>
  <c r="C66" i="8"/>
  <c r="J65" i="8"/>
  <c r="B66" i="8" s="1"/>
  <c r="H65" i="8"/>
  <c r="D65" i="8"/>
  <c r="C65" i="8"/>
  <c r="J64" i="8"/>
  <c r="B65" i="8" s="1"/>
  <c r="H64" i="8"/>
  <c r="D64" i="8"/>
  <c r="D76" i="8" s="1"/>
  <c r="C64" i="8"/>
  <c r="B64" i="8"/>
  <c r="E64" i="8" s="1"/>
  <c r="I64" i="8" s="1"/>
  <c r="G64" i="8" s="1"/>
  <c r="H61" i="8"/>
  <c r="D61" i="8"/>
  <c r="B61" i="8"/>
  <c r="E61" i="8" s="1"/>
  <c r="I61" i="8" s="1"/>
  <c r="G61" i="8" s="1"/>
  <c r="H60" i="8"/>
  <c r="D60" i="8"/>
  <c r="J59" i="8"/>
  <c r="B60" i="8" s="1"/>
  <c r="H59" i="8"/>
  <c r="D59" i="8"/>
  <c r="C59" i="8"/>
  <c r="J58" i="8"/>
  <c r="B59" i="8" s="1"/>
  <c r="E59" i="8" s="1"/>
  <c r="I59" i="8" s="1"/>
  <c r="H58" i="8"/>
  <c r="D58" i="8"/>
  <c r="C58" i="8"/>
  <c r="J57" i="8"/>
  <c r="B58" i="8" s="1"/>
  <c r="E58" i="8" s="1"/>
  <c r="I58" i="8" s="1"/>
  <c r="H57" i="8"/>
  <c r="D57" i="8"/>
  <c r="C57" i="8"/>
  <c r="J56" i="8"/>
  <c r="B57" i="8" s="1"/>
  <c r="E57" i="8" s="1"/>
  <c r="I57" i="8" s="1"/>
  <c r="H56" i="8"/>
  <c r="D56" i="8"/>
  <c r="C56" i="8"/>
  <c r="J55" i="8"/>
  <c r="B56" i="8" s="1"/>
  <c r="E56" i="8" s="1"/>
  <c r="I56" i="8" s="1"/>
  <c r="H55" i="8"/>
  <c r="D55" i="8"/>
  <c r="C55" i="8"/>
  <c r="J54" i="8"/>
  <c r="B55" i="8" s="1"/>
  <c r="E55" i="8" s="1"/>
  <c r="I55" i="8" s="1"/>
  <c r="H54" i="8"/>
  <c r="D54" i="8"/>
  <c r="C54" i="8"/>
  <c r="J53" i="8"/>
  <c r="B54" i="8" s="1"/>
  <c r="E54" i="8" s="1"/>
  <c r="I54" i="8" s="1"/>
  <c r="H53" i="8"/>
  <c r="D53" i="8"/>
  <c r="C53" i="8"/>
  <c r="J52" i="8"/>
  <c r="B53" i="8" s="1"/>
  <c r="E53" i="8" s="1"/>
  <c r="I53" i="8" s="1"/>
  <c r="H52" i="8"/>
  <c r="D52" i="8"/>
  <c r="C52" i="8"/>
  <c r="J51" i="8"/>
  <c r="B52" i="8" s="1"/>
  <c r="E52" i="8" s="1"/>
  <c r="I52" i="8" s="1"/>
  <c r="H51" i="8"/>
  <c r="D51" i="8"/>
  <c r="C51" i="8"/>
  <c r="J50" i="8"/>
  <c r="B51" i="8" s="1"/>
  <c r="E51" i="8" s="1"/>
  <c r="I51" i="8" s="1"/>
  <c r="H50" i="8"/>
  <c r="D50" i="8"/>
  <c r="C50" i="8"/>
  <c r="C62" i="8" s="1"/>
  <c r="B50" i="8"/>
  <c r="E50" i="8" s="1"/>
  <c r="I50" i="8" s="1"/>
  <c r="J47" i="8"/>
  <c r="H47" i="8"/>
  <c r="D47" i="8"/>
  <c r="C47" i="8"/>
  <c r="J46" i="8"/>
  <c r="B47" i="8" s="1"/>
  <c r="E47" i="8" s="1"/>
  <c r="I47" i="8" s="1"/>
  <c r="H46" i="8"/>
  <c r="D46" i="8"/>
  <c r="C46" i="8"/>
  <c r="J45" i="8"/>
  <c r="B46" i="8" s="1"/>
  <c r="E46" i="8" s="1"/>
  <c r="I46" i="8" s="1"/>
  <c r="G46" i="8" s="1"/>
  <c r="H45" i="8"/>
  <c r="D45" i="8"/>
  <c r="C45" i="8"/>
  <c r="J44" i="8"/>
  <c r="B45" i="8" s="1"/>
  <c r="H44" i="8"/>
  <c r="D44" i="8"/>
  <c r="C44" i="8"/>
  <c r="J43" i="8"/>
  <c r="B44" i="8" s="1"/>
  <c r="H43" i="8"/>
  <c r="D43" i="8"/>
  <c r="C43" i="8"/>
  <c r="J42" i="8"/>
  <c r="B43" i="8" s="1"/>
  <c r="H42" i="8"/>
  <c r="D42" i="8"/>
  <c r="C42" i="8"/>
  <c r="J41" i="8"/>
  <c r="B42" i="8" s="1"/>
  <c r="E42" i="8" s="1"/>
  <c r="I42" i="8" s="1"/>
  <c r="G42" i="8" s="1"/>
  <c r="H41" i="8"/>
  <c r="D41" i="8"/>
  <c r="C41" i="8"/>
  <c r="J40" i="8"/>
  <c r="B41" i="8" s="1"/>
  <c r="H40" i="8"/>
  <c r="D40" i="8"/>
  <c r="C40" i="8"/>
  <c r="J39" i="8"/>
  <c r="B40" i="8" s="1"/>
  <c r="H39" i="8"/>
  <c r="D39" i="8"/>
  <c r="C39" i="8"/>
  <c r="J38" i="8"/>
  <c r="B39" i="8" s="1"/>
  <c r="H38" i="8"/>
  <c r="D38" i="8"/>
  <c r="C38" i="8"/>
  <c r="J37" i="8"/>
  <c r="B38" i="8" s="1"/>
  <c r="H37" i="8"/>
  <c r="D37" i="8"/>
  <c r="C37" i="8"/>
  <c r="J36" i="8"/>
  <c r="B37" i="8" s="1"/>
  <c r="E37" i="8" s="1"/>
  <c r="I37" i="8" s="1"/>
  <c r="H36" i="8"/>
  <c r="D36" i="8"/>
  <c r="C36" i="8"/>
  <c r="C48" i="8" s="1"/>
  <c r="B36" i="8"/>
  <c r="E36" i="8" s="1"/>
  <c r="I36" i="8" s="1"/>
  <c r="J33" i="8"/>
  <c r="H33" i="8"/>
  <c r="D33" i="8"/>
  <c r="E33" i="8" s="1"/>
  <c r="I33" i="8" s="1"/>
  <c r="G33" i="8" s="1"/>
  <c r="C33" i="8"/>
  <c r="J32" i="8"/>
  <c r="B33" i="8" s="1"/>
  <c r="H32" i="8"/>
  <c r="D32" i="8"/>
  <c r="C32" i="8"/>
  <c r="J31" i="8"/>
  <c r="B32" i="8" s="1"/>
  <c r="H31" i="8"/>
  <c r="D31" i="8"/>
  <c r="C31" i="8"/>
  <c r="J30" i="8"/>
  <c r="B31" i="8" s="1"/>
  <c r="H30" i="8"/>
  <c r="D30" i="8"/>
  <c r="C30" i="8"/>
  <c r="J29" i="8"/>
  <c r="B30" i="8" s="1"/>
  <c r="H29" i="8"/>
  <c r="D29" i="8"/>
  <c r="E29" i="8" s="1"/>
  <c r="I29" i="8" s="1"/>
  <c r="G29" i="8" s="1"/>
  <c r="C29" i="8"/>
  <c r="J28" i="8"/>
  <c r="B29" i="8" s="1"/>
  <c r="H28" i="8"/>
  <c r="D28" i="8"/>
  <c r="C28" i="8"/>
  <c r="J27" i="8"/>
  <c r="B28" i="8" s="1"/>
  <c r="H27" i="8"/>
  <c r="D27" i="8"/>
  <c r="C27" i="8"/>
  <c r="J26" i="8"/>
  <c r="B27" i="8" s="1"/>
  <c r="H26" i="8"/>
  <c r="D26" i="8"/>
  <c r="C26" i="8"/>
  <c r="J25" i="8"/>
  <c r="B26" i="8" s="1"/>
  <c r="H25" i="8"/>
  <c r="D25" i="8"/>
  <c r="E25" i="8" s="1"/>
  <c r="I25" i="8" s="1"/>
  <c r="G25" i="8" s="1"/>
  <c r="C25" i="8"/>
  <c r="J24" i="8"/>
  <c r="B25" i="8" s="1"/>
  <c r="H24" i="8"/>
  <c r="D24" i="8"/>
  <c r="C24" i="8"/>
  <c r="J23" i="8"/>
  <c r="B24" i="8" s="1"/>
  <c r="H23" i="8"/>
  <c r="D23" i="8"/>
  <c r="C23" i="8"/>
  <c r="J22" i="8"/>
  <c r="B23" i="8" s="1"/>
  <c r="H22" i="8"/>
  <c r="H34" i="8" s="1"/>
  <c r="D22" i="8"/>
  <c r="C22" i="8"/>
  <c r="C34" i="8" s="1"/>
  <c r="J19" i="8"/>
  <c r="B22" i="8" s="1"/>
  <c r="H19" i="8"/>
  <c r="D19" i="8"/>
  <c r="C19" i="8"/>
  <c r="B19" i="8"/>
  <c r="E19" i="8" s="1"/>
  <c r="I19" i="8" s="1"/>
  <c r="G19" i="8" s="1"/>
  <c r="J18" i="8"/>
  <c r="H18" i="8"/>
  <c r="D18" i="8"/>
  <c r="C18" i="8"/>
  <c r="J17" i="8"/>
  <c r="B18" i="8" s="1"/>
  <c r="H17" i="8"/>
  <c r="D17" i="8"/>
  <c r="C17" i="8"/>
  <c r="J16" i="8"/>
  <c r="B17" i="8" s="1"/>
  <c r="H16" i="8"/>
  <c r="D16" i="8"/>
  <c r="C16" i="8"/>
  <c r="J15" i="8"/>
  <c r="B16" i="8" s="1"/>
  <c r="E16" i="8" s="1"/>
  <c r="I16" i="8" s="1"/>
  <c r="H15" i="8"/>
  <c r="D15" i="8"/>
  <c r="C15" i="8"/>
  <c r="B15" i="8"/>
  <c r="J14" i="8"/>
  <c r="H14" i="8"/>
  <c r="D14" i="8"/>
  <c r="C14" i="8"/>
  <c r="J13" i="8"/>
  <c r="B14" i="8" s="1"/>
  <c r="E14" i="8" s="1"/>
  <c r="I14" i="8" s="1"/>
  <c r="G14" i="8" s="1"/>
  <c r="H13" i="8"/>
  <c r="D13" i="8"/>
  <c r="C13" i="8"/>
  <c r="B13" i="8"/>
  <c r="J12" i="8"/>
  <c r="H12" i="8"/>
  <c r="D12" i="8"/>
  <c r="C12" i="8"/>
  <c r="J11" i="8"/>
  <c r="B12" i="8" s="1"/>
  <c r="E12" i="8" s="1"/>
  <c r="I12" i="8" s="1"/>
  <c r="H11" i="8"/>
  <c r="D11" i="8"/>
  <c r="C11" i="8"/>
  <c r="B11" i="8"/>
  <c r="E11" i="8" s="1"/>
  <c r="I11" i="8" s="1"/>
  <c r="G11" i="8" s="1"/>
  <c r="J10" i="8"/>
  <c r="H10" i="8"/>
  <c r="D10" i="8"/>
  <c r="C10" i="8"/>
  <c r="J9" i="8"/>
  <c r="B10" i="8" s="1"/>
  <c r="H9" i="8"/>
  <c r="D9" i="8"/>
  <c r="C9" i="8"/>
  <c r="B9" i="8"/>
  <c r="J8" i="8"/>
  <c r="H8" i="8"/>
  <c r="H20" i="8" s="1"/>
  <c r="D8" i="8"/>
  <c r="C8" i="8"/>
  <c r="B8" i="8"/>
  <c r="J154" i="7"/>
  <c r="G154" i="7"/>
  <c r="F154" i="7"/>
  <c r="D154" i="7"/>
  <c r="C154" i="7"/>
  <c r="J147" i="7"/>
  <c r="B154" i="7" s="1"/>
  <c r="G147" i="7"/>
  <c r="D147" i="7"/>
  <c r="F146" i="7"/>
  <c r="F145" i="7"/>
  <c r="F144" i="7"/>
  <c r="F147" i="7" s="1"/>
  <c r="J143" i="7"/>
  <c r="B147" i="7" s="1"/>
  <c r="E147" i="7" s="1"/>
  <c r="I147" i="7" s="1"/>
  <c r="G143" i="7"/>
  <c r="D143" i="7"/>
  <c r="F142" i="7"/>
  <c r="F141" i="7"/>
  <c r="F140" i="7"/>
  <c r="F143" i="7" s="1"/>
  <c r="J139" i="7"/>
  <c r="B143" i="7" s="1"/>
  <c r="E143" i="7" s="1"/>
  <c r="G139" i="7"/>
  <c r="D139" i="7"/>
  <c r="F138" i="7"/>
  <c r="F137" i="7"/>
  <c r="F136" i="7"/>
  <c r="J135" i="7"/>
  <c r="B139" i="7" s="1"/>
  <c r="G135" i="7"/>
  <c r="D135" i="7"/>
  <c r="C135" i="7"/>
  <c r="C148" i="7" s="1"/>
  <c r="F134" i="7"/>
  <c r="F133" i="7"/>
  <c r="F132" i="7"/>
  <c r="F135" i="7" s="1"/>
  <c r="J128" i="7"/>
  <c r="B135" i="7" s="1"/>
  <c r="E135" i="7" s="1"/>
  <c r="I135" i="7" s="1"/>
  <c r="G127" i="7"/>
  <c r="F127" i="7"/>
  <c r="D127" i="7"/>
  <c r="G126" i="7"/>
  <c r="G128" i="7" s="1"/>
  <c r="F126" i="7"/>
  <c r="D126" i="7"/>
  <c r="G125" i="7"/>
  <c r="F125" i="7"/>
  <c r="D125" i="7"/>
  <c r="J124" i="7"/>
  <c r="B128" i="7" s="1"/>
  <c r="G123" i="7"/>
  <c r="F123" i="7"/>
  <c r="D123" i="7"/>
  <c r="G122" i="7"/>
  <c r="F122" i="7"/>
  <c r="D122" i="7"/>
  <c r="G121" i="7"/>
  <c r="F121" i="7"/>
  <c r="D121" i="7"/>
  <c r="J120" i="7"/>
  <c r="B124" i="7" s="1"/>
  <c r="G119" i="7"/>
  <c r="F119" i="7"/>
  <c r="D119" i="7"/>
  <c r="G118" i="7"/>
  <c r="F118" i="7"/>
  <c r="D118" i="7"/>
  <c r="G117" i="7"/>
  <c r="F117" i="7"/>
  <c r="D117" i="7"/>
  <c r="J116" i="7"/>
  <c r="B120" i="7" s="1"/>
  <c r="C116" i="7"/>
  <c r="C129" i="7" s="1"/>
  <c r="G115" i="7"/>
  <c r="F115" i="7"/>
  <c r="D115" i="7"/>
  <c r="G114" i="7"/>
  <c r="F114" i="7"/>
  <c r="D114" i="7"/>
  <c r="G113" i="7"/>
  <c r="F113" i="7"/>
  <c r="D113" i="7"/>
  <c r="G110" i="7"/>
  <c r="D110" i="7"/>
  <c r="J109" i="7"/>
  <c r="B116" i="7" s="1"/>
  <c r="J108" i="7"/>
  <c r="B109" i="7" s="1"/>
  <c r="E109" i="7" s="1"/>
  <c r="J107" i="7"/>
  <c r="B108" i="7" s="1"/>
  <c r="E108" i="7" s="1"/>
  <c r="J106" i="7"/>
  <c r="B107" i="7" s="1"/>
  <c r="E107" i="7" s="1"/>
  <c r="C106" i="7"/>
  <c r="C110" i="7" s="1"/>
  <c r="G103" i="7"/>
  <c r="D103" i="7"/>
  <c r="J102" i="7"/>
  <c r="B106" i="7" s="1"/>
  <c r="J101" i="7"/>
  <c r="B102" i="7" s="1"/>
  <c r="E102" i="7" s="1"/>
  <c r="J100" i="7"/>
  <c r="B101" i="7" s="1"/>
  <c r="E101" i="7" s="1"/>
  <c r="I101" i="7" s="1"/>
  <c r="J99" i="7"/>
  <c r="B100" i="7" s="1"/>
  <c r="E100" i="7" s="1"/>
  <c r="C99" i="7"/>
  <c r="C103" i="7" s="1"/>
  <c r="G96" i="7"/>
  <c r="D96" i="7"/>
  <c r="J95" i="7"/>
  <c r="B99" i="7" s="1"/>
  <c r="J94" i="7"/>
  <c r="B95" i="7" s="1"/>
  <c r="E95" i="7" s="1"/>
  <c r="J93" i="7"/>
  <c r="B94" i="7" s="1"/>
  <c r="E94" i="7" s="1"/>
  <c r="J92" i="7"/>
  <c r="B93" i="7" s="1"/>
  <c r="E93" i="7" s="1"/>
  <c r="I93" i="7" s="1"/>
  <c r="C92" i="7"/>
  <c r="C96" i="7" s="1"/>
  <c r="B92" i="7"/>
  <c r="G89" i="7"/>
  <c r="D89" i="7"/>
  <c r="J88" i="7"/>
  <c r="J87" i="7"/>
  <c r="B88" i="7" s="1"/>
  <c r="E88" i="7" s="1"/>
  <c r="J86" i="7"/>
  <c r="B87" i="7" s="1"/>
  <c r="E87" i="7" s="1"/>
  <c r="J85" i="7"/>
  <c r="B86" i="7" s="1"/>
  <c r="E86" i="7" s="1"/>
  <c r="C85" i="7"/>
  <c r="C89" i="7" s="1"/>
  <c r="G82" i="7"/>
  <c r="F82" i="7"/>
  <c r="D82" i="7"/>
  <c r="J81" i="7"/>
  <c r="B85" i="7" s="1"/>
  <c r="J80" i="7"/>
  <c r="B81" i="7" s="1"/>
  <c r="E81" i="7" s="1"/>
  <c r="J79" i="7"/>
  <c r="B80" i="7" s="1"/>
  <c r="E80" i="7" s="1"/>
  <c r="I80" i="7" s="1"/>
  <c r="H80" i="7" s="1"/>
  <c r="J78" i="7"/>
  <c r="B79" i="7" s="1"/>
  <c r="E79" i="7" s="1"/>
  <c r="C78" i="7"/>
  <c r="C82" i="7" s="1"/>
  <c r="G75" i="7"/>
  <c r="F75" i="7"/>
  <c r="D75" i="7"/>
  <c r="J74" i="7"/>
  <c r="B78" i="7" s="1"/>
  <c r="J73" i="7"/>
  <c r="B74" i="7" s="1"/>
  <c r="E74" i="7" s="1"/>
  <c r="J72" i="7"/>
  <c r="B73" i="7" s="1"/>
  <c r="E73" i="7" s="1"/>
  <c r="J71" i="7"/>
  <c r="B72" i="7" s="1"/>
  <c r="E72" i="7" s="1"/>
  <c r="C71" i="7"/>
  <c r="C75" i="7" s="1"/>
  <c r="G68" i="7"/>
  <c r="F68" i="7"/>
  <c r="D68" i="7"/>
  <c r="J67" i="7"/>
  <c r="B71" i="7" s="1"/>
  <c r="E71" i="7" s="1"/>
  <c r="I71" i="7" s="1"/>
  <c r="J66" i="7"/>
  <c r="B67" i="7" s="1"/>
  <c r="E67" i="7" s="1"/>
  <c r="J65" i="7"/>
  <c r="B66" i="7" s="1"/>
  <c r="E66" i="7" s="1"/>
  <c r="I66" i="7" s="1"/>
  <c r="H66" i="7" s="1"/>
  <c r="J64" i="7"/>
  <c r="B65" i="7" s="1"/>
  <c r="E65" i="7" s="1"/>
  <c r="C64" i="7"/>
  <c r="C68" i="7" s="1"/>
  <c r="G61" i="7"/>
  <c r="F61" i="7"/>
  <c r="D61" i="7"/>
  <c r="J60" i="7"/>
  <c r="B64" i="7" s="1"/>
  <c r="E64" i="7" s="1"/>
  <c r="I64" i="7" s="1"/>
  <c r="J59" i="7"/>
  <c r="B60" i="7" s="1"/>
  <c r="E60" i="7" s="1"/>
  <c r="J58" i="7"/>
  <c r="B59" i="7" s="1"/>
  <c r="E59" i="7" s="1"/>
  <c r="J57" i="7"/>
  <c r="B58" i="7" s="1"/>
  <c r="E58" i="7" s="1"/>
  <c r="C57" i="7"/>
  <c r="C61" i="7" s="1"/>
  <c r="G54" i="7"/>
  <c r="F54" i="7"/>
  <c r="D54" i="7"/>
  <c r="C54" i="7"/>
  <c r="J53" i="7"/>
  <c r="J52" i="7"/>
  <c r="B53" i="7" s="1"/>
  <c r="E53" i="7" s="1"/>
  <c r="J51" i="7"/>
  <c r="B52" i="7" s="1"/>
  <c r="E52" i="7" s="1"/>
  <c r="J50" i="7"/>
  <c r="B51" i="7" s="1"/>
  <c r="E51" i="7" s="1"/>
  <c r="G47" i="7"/>
  <c r="F47" i="7"/>
  <c r="D47" i="7"/>
  <c r="C47" i="7"/>
  <c r="J46" i="7"/>
  <c r="B50" i="7" s="1"/>
  <c r="E50" i="7" s="1"/>
  <c r="I50" i="7" s="1"/>
  <c r="J45" i="7"/>
  <c r="B46" i="7" s="1"/>
  <c r="E46" i="7" s="1"/>
  <c r="I46" i="7" s="1"/>
  <c r="H46" i="7" s="1"/>
  <c r="J44" i="7"/>
  <c r="B45" i="7" s="1"/>
  <c r="E45" i="7" s="1"/>
  <c r="J43" i="7"/>
  <c r="B44" i="7" s="1"/>
  <c r="E44" i="7" s="1"/>
  <c r="G40" i="7"/>
  <c r="F40" i="7"/>
  <c r="D40" i="7"/>
  <c r="C40" i="7"/>
  <c r="J39" i="7"/>
  <c r="B43" i="7" s="1"/>
  <c r="E43" i="7" s="1"/>
  <c r="I43" i="7" s="1"/>
  <c r="J38" i="7"/>
  <c r="B39" i="7" s="1"/>
  <c r="E39" i="7" s="1"/>
  <c r="J37" i="7"/>
  <c r="B38" i="7" s="1"/>
  <c r="E38" i="7" s="1"/>
  <c r="J36" i="7"/>
  <c r="B37" i="7" s="1"/>
  <c r="E37" i="7" s="1"/>
  <c r="I37" i="7" s="1"/>
  <c r="H37" i="7" s="1"/>
  <c r="G33" i="7"/>
  <c r="F33" i="7"/>
  <c r="D33" i="7"/>
  <c r="C33" i="7"/>
  <c r="J32" i="7"/>
  <c r="B36" i="7" s="1"/>
  <c r="E40" i="7" s="1"/>
  <c r="J31" i="7"/>
  <c r="B32" i="7" s="1"/>
  <c r="E32" i="7" s="1"/>
  <c r="J30" i="7"/>
  <c r="B31" i="7" s="1"/>
  <c r="E31" i="7" s="1"/>
  <c r="J29" i="7"/>
  <c r="B30" i="7" s="1"/>
  <c r="E30" i="7" s="1"/>
  <c r="G26" i="7"/>
  <c r="F26" i="7"/>
  <c r="D26" i="7"/>
  <c r="C26" i="7"/>
  <c r="J25" i="7"/>
  <c r="B29" i="7" s="1"/>
  <c r="E29" i="7" s="1"/>
  <c r="B25" i="7"/>
  <c r="E25" i="7" s="1"/>
  <c r="J24" i="7"/>
  <c r="J23" i="7"/>
  <c r="B24" i="7" s="1"/>
  <c r="E24" i="7" s="1"/>
  <c r="I24" i="7" s="1"/>
  <c r="H24" i="7" s="1"/>
  <c r="J22" i="7"/>
  <c r="B23" i="7" s="1"/>
  <c r="E23" i="7" s="1"/>
  <c r="I23" i="7" s="1"/>
  <c r="H23" i="7" s="1"/>
  <c r="G19" i="7"/>
  <c r="F19" i="7"/>
  <c r="D19" i="7"/>
  <c r="C19" i="7"/>
  <c r="J18" i="7"/>
  <c r="B22" i="7" s="1"/>
  <c r="J17" i="7"/>
  <c r="B18" i="7" s="1"/>
  <c r="E18" i="7" s="1"/>
  <c r="J16" i="7"/>
  <c r="B17" i="7" s="1"/>
  <c r="E17" i="7" s="1"/>
  <c r="I17" i="7" s="1"/>
  <c r="H17" i="7" s="1"/>
  <c r="J15" i="7"/>
  <c r="B16" i="7" s="1"/>
  <c r="E16" i="7" s="1"/>
  <c r="G12" i="7"/>
  <c r="F12" i="7"/>
  <c r="D12" i="7"/>
  <c r="E12" i="7" s="1"/>
  <c r="C12" i="7"/>
  <c r="J11" i="7"/>
  <c r="B15" i="7" s="1"/>
  <c r="J10" i="7"/>
  <c r="B11" i="7" s="1"/>
  <c r="E11" i="7" s="1"/>
  <c r="J9" i="7"/>
  <c r="B10" i="7" s="1"/>
  <c r="E10" i="7" s="1"/>
  <c r="J8" i="7"/>
  <c r="B9" i="7" s="1"/>
  <c r="E9" i="7" s="1"/>
  <c r="E8" i="7"/>
  <c r="G44" i="6"/>
  <c r="K43" i="6"/>
  <c r="B44" i="6" s="1"/>
  <c r="E44" i="6" s="1"/>
  <c r="I43" i="6"/>
  <c r="H43" i="6"/>
  <c r="D43" i="6"/>
  <c r="C43" i="6"/>
  <c r="K42" i="6"/>
  <c r="B43" i="6" s="1"/>
  <c r="I42" i="6"/>
  <c r="H42" i="6"/>
  <c r="D42" i="6"/>
  <c r="C42" i="6"/>
  <c r="B42" i="6"/>
  <c r="E42" i="6" s="1"/>
  <c r="B41" i="6"/>
  <c r="E41" i="6" s="1"/>
  <c r="J41" i="6" s="1"/>
  <c r="G41" i="6" s="1"/>
  <c r="B40" i="6"/>
  <c r="E40" i="6" s="1"/>
  <c r="J40" i="6" s="1"/>
  <c r="G40" i="6" s="1"/>
  <c r="E39" i="6"/>
  <c r="J39" i="6" s="1"/>
  <c r="G39" i="6" s="1"/>
  <c r="B39" i="6"/>
  <c r="B38" i="6"/>
  <c r="E38" i="6" s="1"/>
  <c r="J38" i="6" s="1"/>
  <c r="G38" i="6" s="1"/>
  <c r="I37" i="6"/>
  <c r="D37" i="6"/>
  <c r="C37" i="6"/>
  <c r="K36" i="6"/>
  <c r="B37" i="6" s="1"/>
  <c r="I36" i="6"/>
  <c r="D36" i="6"/>
  <c r="C36" i="6"/>
  <c r="K35" i="6"/>
  <c r="B36" i="6" s="1"/>
  <c r="I35" i="6"/>
  <c r="D35" i="6"/>
  <c r="C35" i="6"/>
  <c r="K34" i="6"/>
  <c r="B35" i="6" s="1"/>
  <c r="I34" i="6"/>
  <c r="D34" i="6"/>
  <c r="C34" i="6"/>
  <c r="B34" i="6"/>
  <c r="B33" i="6"/>
  <c r="E33" i="6" s="1"/>
  <c r="J33" i="6" s="1"/>
  <c r="G33" i="6" s="1"/>
  <c r="B32" i="6"/>
  <c r="E32" i="6" s="1"/>
  <c r="J32" i="6" s="1"/>
  <c r="G32" i="6" s="1"/>
  <c r="B31" i="6"/>
  <c r="E31" i="6" s="1"/>
  <c r="J31" i="6" s="1"/>
  <c r="G31" i="6" s="1"/>
  <c r="B30" i="6"/>
  <c r="E30" i="6" s="1"/>
  <c r="J30" i="6" s="1"/>
  <c r="G30" i="6" s="1"/>
  <c r="B29" i="6"/>
  <c r="E29" i="6" s="1"/>
  <c r="J29" i="6" s="1"/>
  <c r="G29" i="6" s="1"/>
  <c r="B28" i="6"/>
  <c r="E28" i="6" s="1"/>
  <c r="J28" i="6" s="1"/>
  <c r="G28" i="6" s="1"/>
  <c r="B27" i="6"/>
  <c r="E27" i="6" s="1"/>
  <c r="J27" i="6" s="1"/>
  <c r="G27" i="6" s="1"/>
  <c r="B26" i="6"/>
  <c r="E26" i="6" s="1"/>
  <c r="J26" i="6" s="1"/>
  <c r="G26" i="6" s="1"/>
  <c r="B25" i="6"/>
  <c r="E25" i="6" s="1"/>
  <c r="J25" i="6" s="1"/>
  <c r="G25" i="6" s="1"/>
  <c r="B24" i="6"/>
  <c r="E24" i="6" s="1"/>
  <c r="J24" i="6" s="1"/>
  <c r="G24" i="6" s="1"/>
  <c r="B23" i="6"/>
  <c r="E23" i="6" s="1"/>
  <c r="J23" i="6" s="1"/>
  <c r="G23" i="6" s="1"/>
  <c r="B22" i="6"/>
  <c r="E22" i="6" s="1"/>
  <c r="J22" i="6" s="1"/>
  <c r="G22" i="6" s="1"/>
  <c r="B21" i="6"/>
  <c r="E21" i="6" s="1"/>
  <c r="J21" i="6" s="1"/>
  <c r="G21" i="6" s="1"/>
  <c r="B20" i="6"/>
  <c r="E20" i="6" s="1"/>
  <c r="J20" i="6" s="1"/>
  <c r="G20" i="6" s="1"/>
  <c r="B19" i="6"/>
  <c r="E19" i="6" s="1"/>
  <c r="J19" i="6" s="1"/>
  <c r="G19" i="6" s="1"/>
  <c r="B18" i="6"/>
  <c r="E18" i="6" s="1"/>
  <c r="J18" i="6" s="1"/>
  <c r="G18" i="6" s="1"/>
  <c r="B17" i="6"/>
  <c r="E17" i="6" s="1"/>
  <c r="J17" i="6" s="1"/>
  <c r="G17" i="6" s="1"/>
  <c r="B16" i="6"/>
  <c r="E16" i="6" s="1"/>
  <c r="J16" i="6" s="1"/>
  <c r="G16" i="6" s="1"/>
  <c r="B15" i="6"/>
  <c r="E15" i="6" s="1"/>
  <c r="J15" i="6" s="1"/>
  <c r="G15" i="6" s="1"/>
  <c r="B14" i="6"/>
  <c r="E14" i="6" s="1"/>
  <c r="J14" i="6" s="1"/>
  <c r="G14" i="6" s="1"/>
  <c r="B13" i="6"/>
  <c r="E13" i="6" s="1"/>
  <c r="J13" i="6" s="1"/>
  <c r="G13" i="6" s="1"/>
  <c r="B12" i="6"/>
  <c r="E12" i="6" s="1"/>
  <c r="J12" i="6" s="1"/>
  <c r="G12" i="6" s="1"/>
  <c r="B11" i="6"/>
  <c r="E11" i="6" s="1"/>
  <c r="J11" i="6" s="1"/>
  <c r="G11" i="6" s="1"/>
  <c r="B10" i="6"/>
  <c r="E10" i="6" s="1"/>
  <c r="J10" i="6" s="1"/>
  <c r="G10" i="6" s="1"/>
  <c r="B9" i="6"/>
  <c r="E9" i="6" s="1"/>
  <c r="J9" i="6" s="1"/>
  <c r="G9" i="6" s="1"/>
  <c r="B8" i="6"/>
  <c r="E8" i="6" s="1"/>
  <c r="J8" i="6" s="1"/>
  <c r="G8" i="6" s="1"/>
  <c r="E7" i="6"/>
  <c r="J7" i="6" s="1"/>
  <c r="G7" i="6" s="1"/>
  <c r="J44" i="5"/>
  <c r="B45" i="5" s="1"/>
  <c r="E45" i="5" s="1"/>
  <c r="I45" i="5" s="1"/>
  <c r="G45" i="5" s="1"/>
  <c r="H44" i="5"/>
  <c r="D44" i="5"/>
  <c r="C44" i="5"/>
  <c r="J43" i="5"/>
  <c r="B44" i="5" s="1"/>
  <c r="H43" i="5"/>
  <c r="D43" i="5"/>
  <c r="C43" i="5"/>
  <c r="B43" i="5"/>
  <c r="B42" i="5"/>
  <c r="E42" i="5" s="1"/>
  <c r="I42" i="5" s="1"/>
  <c r="G42" i="5" s="1"/>
  <c r="B41" i="5"/>
  <c r="E41" i="5" s="1"/>
  <c r="I41" i="5" s="1"/>
  <c r="G41" i="5" s="1"/>
  <c r="B40" i="5"/>
  <c r="E40" i="5" s="1"/>
  <c r="I40" i="5" s="1"/>
  <c r="G40" i="5" s="1"/>
  <c r="J38" i="5"/>
  <c r="B39" i="5" s="1"/>
  <c r="E39" i="5" s="1"/>
  <c r="I39" i="5" s="1"/>
  <c r="G39" i="5" s="1"/>
  <c r="J37" i="5"/>
  <c r="B38" i="5" s="1"/>
  <c r="E38" i="5" s="1"/>
  <c r="I38" i="5" s="1"/>
  <c r="G38" i="5" s="1"/>
  <c r="H37" i="5"/>
  <c r="J36" i="5"/>
  <c r="B37" i="5" s="1"/>
  <c r="E37" i="5" s="1"/>
  <c r="I37" i="5" s="1"/>
  <c r="H36" i="5"/>
  <c r="J35" i="5"/>
  <c r="B36" i="5" s="1"/>
  <c r="E36" i="5" s="1"/>
  <c r="H35" i="5"/>
  <c r="D35" i="5"/>
  <c r="C35" i="5"/>
  <c r="B35" i="5"/>
  <c r="E34" i="5"/>
  <c r="I34" i="5" s="1"/>
  <c r="G34" i="5" s="1"/>
  <c r="B34" i="5"/>
  <c r="B33" i="5"/>
  <c r="E33" i="5" s="1"/>
  <c r="I33" i="5" s="1"/>
  <c r="G33" i="5" s="1"/>
  <c r="B32" i="5"/>
  <c r="E32" i="5" s="1"/>
  <c r="I32" i="5" s="1"/>
  <c r="G32" i="5" s="1"/>
  <c r="B31" i="5"/>
  <c r="E31" i="5" s="1"/>
  <c r="I31" i="5" s="1"/>
  <c r="G31" i="5" s="1"/>
  <c r="E30" i="5"/>
  <c r="I30" i="5" s="1"/>
  <c r="G30" i="5" s="1"/>
  <c r="B30" i="5"/>
  <c r="B29" i="5"/>
  <c r="E29" i="5" s="1"/>
  <c r="I29" i="5" s="1"/>
  <c r="G29" i="5" s="1"/>
  <c r="B28" i="5"/>
  <c r="E28" i="5" s="1"/>
  <c r="I28" i="5" s="1"/>
  <c r="G28" i="5" s="1"/>
  <c r="B27" i="5"/>
  <c r="E27" i="5" s="1"/>
  <c r="I27" i="5" s="1"/>
  <c r="G27" i="5" s="1"/>
  <c r="E26" i="5"/>
  <c r="I26" i="5" s="1"/>
  <c r="G26" i="5" s="1"/>
  <c r="B26" i="5"/>
  <c r="B25" i="5"/>
  <c r="E25" i="5" s="1"/>
  <c r="I25" i="5" s="1"/>
  <c r="G25" i="5" s="1"/>
  <c r="B24" i="5"/>
  <c r="E24" i="5" s="1"/>
  <c r="I24" i="5" s="1"/>
  <c r="G24" i="5" s="1"/>
  <c r="B23" i="5"/>
  <c r="E23" i="5" s="1"/>
  <c r="I23" i="5" s="1"/>
  <c r="G23" i="5" s="1"/>
  <c r="E22" i="5"/>
  <c r="I22" i="5" s="1"/>
  <c r="G22" i="5" s="1"/>
  <c r="B22" i="5"/>
  <c r="B21" i="5"/>
  <c r="E21" i="5" s="1"/>
  <c r="I21" i="5" s="1"/>
  <c r="G21" i="5" s="1"/>
  <c r="B20" i="5"/>
  <c r="E20" i="5" s="1"/>
  <c r="I20" i="5" s="1"/>
  <c r="G20" i="5" s="1"/>
  <c r="B19" i="5"/>
  <c r="E19" i="5" s="1"/>
  <c r="I19" i="5" s="1"/>
  <c r="G19" i="5" s="1"/>
  <c r="E18" i="5"/>
  <c r="I18" i="5" s="1"/>
  <c r="G18" i="5" s="1"/>
  <c r="B18" i="5"/>
  <c r="B17" i="5"/>
  <c r="E17" i="5" s="1"/>
  <c r="I17" i="5" s="1"/>
  <c r="G17" i="5" s="1"/>
  <c r="B16" i="5"/>
  <c r="E16" i="5" s="1"/>
  <c r="I16" i="5" s="1"/>
  <c r="G16" i="5" s="1"/>
  <c r="B15" i="5"/>
  <c r="E15" i="5" s="1"/>
  <c r="I15" i="5" s="1"/>
  <c r="G15" i="5" s="1"/>
  <c r="E14" i="5"/>
  <c r="I14" i="5" s="1"/>
  <c r="G14" i="5" s="1"/>
  <c r="B14" i="5"/>
  <c r="B13" i="5"/>
  <c r="E13" i="5" s="1"/>
  <c r="I13" i="5" s="1"/>
  <c r="G13" i="5" s="1"/>
  <c r="B12" i="5"/>
  <c r="E12" i="5" s="1"/>
  <c r="I12" i="5" s="1"/>
  <c r="G12" i="5" s="1"/>
  <c r="B11" i="5"/>
  <c r="E11" i="5" s="1"/>
  <c r="I11" i="5" s="1"/>
  <c r="G11" i="5" s="1"/>
  <c r="E10" i="5"/>
  <c r="I10" i="5" s="1"/>
  <c r="G10" i="5" s="1"/>
  <c r="B10" i="5"/>
  <c r="B9" i="5"/>
  <c r="E9" i="5" s="1"/>
  <c r="I9" i="5" s="1"/>
  <c r="G9" i="5" s="1"/>
  <c r="E8" i="5"/>
  <c r="I8" i="5" s="1"/>
  <c r="G8" i="5" s="1"/>
  <c r="C45" i="4"/>
  <c r="B45" i="4"/>
  <c r="H44" i="4"/>
  <c r="G44" i="4"/>
  <c r="C44" i="4"/>
  <c r="K43" i="4"/>
  <c r="B44" i="4" s="1"/>
  <c r="H43" i="4"/>
  <c r="G43" i="4"/>
  <c r="C43" i="4"/>
  <c r="K42" i="4"/>
  <c r="B43" i="4" s="1"/>
  <c r="H42" i="4"/>
  <c r="G42" i="4"/>
  <c r="C42" i="4"/>
  <c r="K41" i="4"/>
  <c r="B42" i="4" s="1"/>
  <c r="H41" i="4"/>
  <c r="G41" i="4"/>
  <c r="C41" i="4"/>
  <c r="K40" i="4"/>
  <c r="B41" i="4" s="1"/>
  <c r="H40" i="4"/>
  <c r="G40" i="4"/>
  <c r="C40" i="4"/>
  <c r="K39" i="4"/>
  <c r="B40" i="4" s="1"/>
  <c r="H39" i="4"/>
  <c r="G39" i="4"/>
  <c r="C39" i="4"/>
  <c r="K38" i="4"/>
  <c r="B39" i="4" s="1"/>
  <c r="H38" i="4"/>
  <c r="G38" i="4"/>
  <c r="C38" i="4"/>
  <c r="K37" i="4"/>
  <c r="B38" i="4" s="1"/>
  <c r="H37" i="4"/>
  <c r="G37" i="4"/>
  <c r="C37" i="4"/>
  <c r="K36" i="4"/>
  <c r="B37" i="4" s="1"/>
  <c r="H36" i="4"/>
  <c r="G36" i="4"/>
  <c r="C36" i="4"/>
  <c r="K35" i="4"/>
  <c r="B36" i="4" s="1"/>
  <c r="H35" i="4"/>
  <c r="G35" i="4"/>
  <c r="C35" i="4"/>
  <c r="K34" i="4"/>
  <c r="B35" i="4" s="1"/>
  <c r="H34" i="4"/>
  <c r="G34" i="4"/>
  <c r="C34" i="4"/>
  <c r="K33" i="4"/>
  <c r="B34" i="4" s="1"/>
  <c r="H33" i="4"/>
  <c r="G33" i="4"/>
  <c r="C33" i="4"/>
  <c r="K32" i="4"/>
  <c r="B33" i="4" s="1"/>
  <c r="H32" i="4"/>
  <c r="G32" i="4"/>
  <c r="C32" i="4"/>
  <c r="K31" i="4"/>
  <c r="B32" i="4" s="1"/>
  <c r="H31" i="4"/>
  <c r="G31" i="4"/>
  <c r="C31" i="4"/>
  <c r="K30" i="4"/>
  <c r="B31" i="4" s="1"/>
  <c r="H30" i="4"/>
  <c r="G30" i="4"/>
  <c r="C30" i="4"/>
  <c r="K29" i="4"/>
  <c r="B30" i="4" s="1"/>
  <c r="H29" i="4"/>
  <c r="G29" i="4"/>
  <c r="C29" i="4"/>
  <c r="K28" i="4"/>
  <c r="B29" i="4" s="1"/>
  <c r="H28" i="4"/>
  <c r="G28" i="4"/>
  <c r="C28" i="4"/>
  <c r="K27" i="4"/>
  <c r="B28" i="4" s="1"/>
  <c r="C27" i="4"/>
  <c r="B27" i="4"/>
  <c r="C26" i="4"/>
  <c r="B26" i="4"/>
  <c r="C25" i="4"/>
  <c r="E25" i="4" s="1"/>
  <c r="J25" i="4" s="1"/>
  <c r="I25" i="4" s="1"/>
  <c r="B25" i="4"/>
  <c r="C24" i="4"/>
  <c r="B24" i="4"/>
  <c r="C23" i="4"/>
  <c r="B23" i="4"/>
  <c r="C22" i="4"/>
  <c r="E22" i="4" s="1"/>
  <c r="J22" i="4" s="1"/>
  <c r="I22" i="4" s="1"/>
  <c r="B22" i="4"/>
  <c r="C21" i="4"/>
  <c r="B21" i="4"/>
  <c r="C20" i="4"/>
  <c r="B20" i="4"/>
  <c r="C19" i="4"/>
  <c r="B19" i="4"/>
  <c r="C18" i="4"/>
  <c r="B18" i="4"/>
  <c r="C17" i="4"/>
  <c r="E17" i="4" s="1"/>
  <c r="J17" i="4" s="1"/>
  <c r="I17" i="4" s="1"/>
  <c r="B17" i="4"/>
  <c r="C16" i="4"/>
  <c r="B16" i="4"/>
  <c r="C15" i="4"/>
  <c r="B15" i="4"/>
  <c r="C14" i="4"/>
  <c r="E14" i="4" s="1"/>
  <c r="J14" i="4" s="1"/>
  <c r="I14" i="4" s="1"/>
  <c r="B14" i="4"/>
  <c r="C13" i="4"/>
  <c r="B13" i="4"/>
  <c r="C12" i="4"/>
  <c r="B12" i="4"/>
  <c r="C11" i="4"/>
  <c r="B11" i="4"/>
  <c r="C10" i="4"/>
  <c r="B10" i="4"/>
  <c r="C9" i="4"/>
  <c r="B9" i="4"/>
  <c r="E9" i="4" s="1"/>
  <c r="J9" i="4" s="1"/>
  <c r="I9" i="4" s="1"/>
  <c r="C8" i="4"/>
  <c r="E8" i="4" s="1"/>
  <c r="J8" i="4" s="1"/>
  <c r="I8" i="4" s="1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95" i="2"/>
  <c r="D93" i="2"/>
  <c r="D92" i="2"/>
  <c r="D91" i="2"/>
  <c r="D90" i="2"/>
  <c r="D88" i="2"/>
  <c r="D87" i="2"/>
  <c r="D86" i="2"/>
  <c r="D85" i="2"/>
  <c r="D83" i="2"/>
  <c r="D82" i="2"/>
  <c r="D81" i="2"/>
  <c r="D80" i="2"/>
  <c r="D78" i="2"/>
  <c r="D77" i="2"/>
  <c r="D76" i="2"/>
  <c r="D75" i="2"/>
  <c r="D73" i="2"/>
  <c r="D72" i="2"/>
  <c r="D71" i="2"/>
  <c r="D70" i="2"/>
  <c r="D68" i="2"/>
  <c r="D67" i="2"/>
  <c r="D66" i="2"/>
  <c r="D65" i="2"/>
  <c r="D63" i="2"/>
  <c r="D62" i="2"/>
  <c r="D61" i="2"/>
  <c r="D60" i="2"/>
  <c r="D58" i="2"/>
  <c r="D57" i="2"/>
  <c r="D56" i="2"/>
  <c r="D55" i="2"/>
  <c r="D53" i="2"/>
  <c r="D52" i="2"/>
  <c r="D51" i="2"/>
  <c r="D50" i="2"/>
  <c r="D48" i="2"/>
  <c r="D47" i="2"/>
  <c r="D46" i="2"/>
  <c r="D45" i="2"/>
  <c r="D43" i="2"/>
  <c r="D42" i="2"/>
  <c r="D41" i="2"/>
  <c r="D40" i="2"/>
  <c r="D38" i="2"/>
  <c r="D37" i="2"/>
  <c r="D36" i="2"/>
  <c r="D35" i="2"/>
  <c r="D33" i="2"/>
  <c r="D32" i="2"/>
  <c r="D31" i="2"/>
  <c r="D30" i="2"/>
  <c r="D28" i="2"/>
  <c r="D27" i="2"/>
  <c r="D26" i="2"/>
  <c r="D25" i="2"/>
  <c r="D23" i="2"/>
  <c r="D22" i="2"/>
  <c r="D21" i="2"/>
  <c r="D20" i="2"/>
  <c r="D18" i="2"/>
  <c r="D17" i="2"/>
  <c r="D16" i="2"/>
  <c r="D15" i="2"/>
  <c r="D13" i="2"/>
  <c r="D12" i="2"/>
  <c r="D11" i="2"/>
  <c r="D10" i="2"/>
  <c r="D8" i="2"/>
  <c r="D7" i="2"/>
  <c r="D6" i="2"/>
  <c r="D5" i="2"/>
  <c r="I53" i="7" l="1"/>
  <c r="H53" i="7" s="1"/>
  <c r="I67" i="7"/>
  <c r="H67" i="7" s="1"/>
  <c r="I74" i="7"/>
  <c r="H74" i="7" s="1"/>
  <c r="F116" i="7"/>
  <c r="H147" i="7"/>
  <c r="G16" i="8"/>
  <c r="E17" i="8"/>
  <c r="I17" i="8" s="1"/>
  <c r="G17" i="8" s="1"/>
  <c r="D48" i="8"/>
  <c r="H62" i="8"/>
  <c r="C90" i="8"/>
  <c r="E9" i="9"/>
  <c r="J9" i="9" s="1"/>
  <c r="G9" i="9" s="1"/>
  <c r="K39" i="10"/>
  <c r="O39" i="10" s="1"/>
  <c r="L39" i="10"/>
  <c r="M102" i="10"/>
  <c r="L118" i="10"/>
  <c r="M119" i="10"/>
  <c r="O119" i="10"/>
  <c r="G116" i="7"/>
  <c r="H48" i="8"/>
  <c r="C76" i="8"/>
  <c r="G28" i="9"/>
  <c r="I62" i="9"/>
  <c r="J57" i="9"/>
  <c r="G57" i="9" s="1"/>
  <c r="G66" i="9"/>
  <c r="M11" i="10"/>
  <c r="M118" i="10"/>
  <c r="E10" i="4"/>
  <c r="J10" i="4" s="1"/>
  <c r="I10" i="4" s="1"/>
  <c r="E18" i="4"/>
  <c r="J18" i="4" s="1"/>
  <c r="I18" i="4" s="1"/>
  <c r="E26" i="4"/>
  <c r="J26" i="4" s="1"/>
  <c r="I26" i="4" s="1"/>
  <c r="E29" i="4"/>
  <c r="J29" i="4" s="1"/>
  <c r="I29" i="4" s="1"/>
  <c r="E31" i="4"/>
  <c r="J31" i="4" s="1"/>
  <c r="I31" i="4" s="1"/>
  <c r="E33" i="4"/>
  <c r="J33" i="4" s="1"/>
  <c r="I33" i="4" s="1"/>
  <c r="E35" i="4"/>
  <c r="J35" i="4" s="1"/>
  <c r="I35" i="4" s="1"/>
  <c r="E37" i="4"/>
  <c r="J37" i="4" s="1"/>
  <c r="I37" i="4" s="1"/>
  <c r="I11" i="7"/>
  <c r="H11" i="7" s="1"/>
  <c r="I18" i="7"/>
  <c r="H18" i="7" s="1"/>
  <c r="I31" i="7"/>
  <c r="H31" i="7" s="1"/>
  <c r="I52" i="7"/>
  <c r="H52" i="7" s="1"/>
  <c r="I58" i="7"/>
  <c r="H58" i="7" s="1"/>
  <c r="I72" i="7"/>
  <c r="H72" i="7" s="1"/>
  <c r="I108" i="7"/>
  <c r="D116" i="7"/>
  <c r="D120" i="7"/>
  <c r="E120" i="7" s="1"/>
  <c r="I120" i="7" s="1"/>
  <c r="G124" i="7"/>
  <c r="G12" i="8"/>
  <c r="G37" i="8"/>
  <c r="G70" i="8"/>
  <c r="D48" i="9"/>
  <c r="J45" i="9"/>
  <c r="G45" i="9" s="1"/>
  <c r="K41" i="10"/>
  <c r="F139" i="7"/>
  <c r="F148" i="7" s="1"/>
  <c r="E8" i="8"/>
  <c r="I8" i="8" s="1"/>
  <c r="D20" i="8"/>
  <c r="C20" i="8"/>
  <c r="G47" i="8"/>
  <c r="G51" i="8"/>
  <c r="G52" i="8"/>
  <c r="G53" i="8"/>
  <c r="G54" i="8"/>
  <c r="G55" i="8"/>
  <c r="G56" i="8"/>
  <c r="G57" i="8"/>
  <c r="G58" i="8"/>
  <c r="G59" i="8"/>
  <c r="E60" i="8"/>
  <c r="I60" i="8" s="1"/>
  <c r="G60" i="8" s="1"/>
  <c r="E65" i="8"/>
  <c r="I65" i="8" s="1"/>
  <c r="G65" i="8" s="1"/>
  <c r="E66" i="8"/>
  <c r="I66" i="8" s="1"/>
  <c r="G66" i="8" s="1"/>
  <c r="G76" i="8" s="1"/>
  <c r="E83" i="8"/>
  <c r="I83" i="8" s="1"/>
  <c r="G83" i="8" s="1"/>
  <c r="E84" i="8"/>
  <c r="I84" i="8" s="1"/>
  <c r="G84" i="8" s="1"/>
  <c r="E15" i="9"/>
  <c r="E27" i="9"/>
  <c r="J27" i="9" s="1"/>
  <c r="G27" i="9" s="1"/>
  <c r="E29" i="9"/>
  <c r="J29" i="9" s="1"/>
  <c r="G29" i="9" s="1"/>
  <c r="I48" i="9"/>
  <c r="E42" i="9"/>
  <c r="J42" i="9" s="1"/>
  <c r="G42" i="9" s="1"/>
  <c r="J56" i="9"/>
  <c r="G56" i="9" s="1"/>
  <c r="J70" i="9"/>
  <c r="G70" i="9" s="1"/>
  <c r="K11" i="10"/>
  <c r="O11" i="10" s="1"/>
  <c r="J67" i="10"/>
  <c r="D95" i="10"/>
  <c r="K97" i="10"/>
  <c r="O97" i="10" s="1"/>
  <c r="K111" i="10"/>
  <c r="E9" i="8"/>
  <c r="I9" i="8" s="1"/>
  <c r="G9" i="8" s="1"/>
  <c r="E13" i="8"/>
  <c r="I13" i="8" s="1"/>
  <c r="G13" i="8" s="1"/>
  <c r="E23" i="8"/>
  <c r="I23" i="8" s="1"/>
  <c r="G23" i="8" s="1"/>
  <c r="E24" i="8"/>
  <c r="I24" i="8" s="1"/>
  <c r="G24" i="8" s="1"/>
  <c r="E26" i="8"/>
  <c r="I26" i="8" s="1"/>
  <c r="G26" i="8" s="1"/>
  <c r="E27" i="8"/>
  <c r="I27" i="8" s="1"/>
  <c r="G27" i="8" s="1"/>
  <c r="E28" i="8"/>
  <c r="I28" i="8" s="1"/>
  <c r="G28" i="8" s="1"/>
  <c r="E30" i="8"/>
  <c r="I30" i="8" s="1"/>
  <c r="G30" i="8" s="1"/>
  <c r="E31" i="8"/>
  <c r="I31" i="8" s="1"/>
  <c r="G31" i="8" s="1"/>
  <c r="E32" i="8"/>
  <c r="I32" i="8" s="1"/>
  <c r="G32" i="8" s="1"/>
  <c r="E38" i="8"/>
  <c r="I38" i="8" s="1"/>
  <c r="G38" i="8" s="1"/>
  <c r="E43" i="8"/>
  <c r="I43" i="8" s="1"/>
  <c r="G43" i="8" s="1"/>
  <c r="E44" i="8"/>
  <c r="I44" i="8" s="1"/>
  <c r="G44" i="8" s="1"/>
  <c r="E45" i="8"/>
  <c r="I45" i="8" s="1"/>
  <c r="G45" i="8" s="1"/>
  <c r="E71" i="8"/>
  <c r="I71" i="8" s="1"/>
  <c r="G71" i="8" s="1"/>
  <c r="E72" i="8"/>
  <c r="I72" i="8" s="1"/>
  <c r="G72" i="8" s="1"/>
  <c r="E73" i="8"/>
  <c r="I73" i="8" s="1"/>
  <c r="G73" i="8" s="1"/>
  <c r="H90" i="8"/>
  <c r="E85" i="8"/>
  <c r="I85" i="8" s="1"/>
  <c r="G85" i="8" s="1"/>
  <c r="G10" i="9"/>
  <c r="G14" i="9"/>
  <c r="G25" i="9"/>
  <c r="G26" i="9"/>
  <c r="G33" i="9"/>
  <c r="E40" i="9"/>
  <c r="J40" i="9" s="1"/>
  <c r="G40" i="9" s="1"/>
  <c r="E41" i="9"/>
  <c r="J41" i="9" s="1"/>
  <c r="G41" i="9" s="1"/>
  <c r="E53" i="9"/>
  <c r="J53" i="9" s="1"/>
  <c r="G53" i="9" s="1"/>
  <c r="E55" i="9"/>
  <c r="J55" i="9" s="1"/>
  <c r="G55" i="9" s="1"/>
  <c r="E65" i="9"/>
  <c r="J65" i="9" s="1"/>
  <c r="G65" i="9" s="1"/>
  <c r="E69" i="9"/>
  <c r="J69" i="9" s="1"/>
  <c r="G69" i="9" s="1"/>
  <c r="E73" i="9"/>
  <c r="J73" i="9" s="1"/>
  <c r="G73" i="9" s="1"/>
  <c r="K52" i="10"/>
  <c r="O52" i="10" s="1"/>
  <c r="G67" i="10"/>
  <c r="J109" i="10"/>
  <c r="D148" i="7"/>
  <c r="E39" i="8"/>
  <c r="I39" i="8" s="1"/>
  <c r="G39" i="8" s="1"/>
  <c r="E40" i="8"/>
  <c r="I40" i="8" s="1"/>
  <c r="G40" i="8" s="1"/>
  <c r="E41" i="8"/>
  <c r="I41" i="8" s="1"/>
  <c r="G41" i="8" s="1"/>
  <c r="H76" i="8"/>
  <c r="E67" i="8"/>
  <c r="I67" i="8" s="1"/>
  <c r="G67" i="8" s="1"/>
  <c r="E74" i="8"/>
  <c r="I74" i="8" s="1"/>
  <c r="G74" i="8" s="1"/>
  <c r="E75" i="8"/>
  <c r="I75" i="8" s="1"/>
  <c r="G75" i="8" s="1"/>
  <c r="E90" i="8"/>
  <c r="E79" i="8"/>
  <c r="I79" i="8" s="1"/>
  <c r="G79" i="8" s="1"/>
  <c r="E86" i="8"/>
  <c r="I86" i="8" s="1"/>
  <c r="G86" i="8" s="1"/>
  <c r="E87" i="8"/>
  <c r="I87" i="8" s="1"/>
  <c r="G87" i="8" s="1"/>
  <c r="E12" i="9"/>
  <c r="J12" i="9" s="1"/>
  <c r="G12" i="9" s="1"/>
  <c r="E18" i="9"/>
  <c r="J18" i="9" s="1"/>
  <c r="G18" i="9" s="1"/>
  <c r="I34" i="9"/>
  <c r="E24" i="9"/>
  <c r="E32" i="9"/>
  <c r="E38" i="9"/>
  <c r="J38" i="9" s="1"/>
  <c r="G38" i="9" s="1"/>
  <c r="E39" i="9"/>
  <c r="J39" i="9" s="1"/>
  <c r="G39" i="9" s="1"/>
  <c r="E47" i="9"/>
  <c r="J47" i="9" s="1"/>
  <c r="G47" i="9" s="1"/>
  <c r="E51" i="9"/>
  <c r="J51" i="9" s="1"/>
  <c r="G51" i="9" s="1"/>
  <c r="E52" i="9"/>
  <c r="J52" i="9" s="1"/>
  <c r="G52" i="9" s="1"/>
  <c r="E59" i="9"/>
  <c r="J59" i="9" s="1"/>
  <c r="G59" i="9" s="1"/>
  <c r="E60" i="9"/>
  <c r="J60" i="9" s="1"/>
  <c r="G60" i="9" s="1"/>
  <c r="E67" i="9"/>
  <c r="J67" i="9" s="1"/>
  <c r="G67" i="9" s="1"/>
  <c r="E72" i="9"/>
  <c r="J72" i="9" s="1"/>
  <c r="G72" i="9" s="1"/>
  <c r="E75" i="9"/>
  <c r="J75" i="9" s="1"/>
  <c r="G75" i="9" s="1"/>
  <c r="E90" i="9"/>
  <c r="K19" i="10"/>
  <c r="J53" i="10"/>
  <c r="K69" i="10"/>
  <c r="K85" i="10"/>
  <c r="G95" i="10"/>
  <c r="K103" i="10"/>
  <c r="M103" i="10" s="1"/>
  <c r="K104" i="10"/>
  <c r="E11" i="4"/>
  <c r="J11" i="4" s="1"/>
  <c r="I11" i="4" s="1"/>
  <c r="E15" i="4"/>
  <c r="J15" i="4" s="1"/>
  <c r="I15" i="4" s="1"/>
  <c r="E19" i="4"/>
  <c r="J19" i="4" s="1"/>
  <c r="I19" i="4" s="1"/>
  <c r="E23" i="4"/>
  <c r="J23" i="4" s="1"/>
  <c r="I23" i="4" s="1"/>
  <c r="I25" i="7"/>
  <c r="H25" i="7" s="1"/>
  <c r="I38" i="7"/>
  <c r="H38" i="7" s="1"/>
  <c r="I44" i="7"/>
  <c r="H44" i="7" s="1"/>
  <c r="I81" i="7"/>
  <c r="H81" i="7" s="1"/>
  <c r="I87" i="7"/>
  <c r="I94" i="7"/>
  <c r="E12" i="4"/>
  <c r="J12" i="4" s="1"/>
  <c r="I12" i="4" s="1"/>
  <c r="E16" i="4"/>
  <c r="J16" i="4" s="1"/>
  <c r="I16" i="4" s="1"/>
  <c r="I29" i="7"/>
  <c r="I32" i="7"/>
  <c r="H32" i="7" s="1"/>
  <c r="I39" i="7"/>
  <c r="H39" i="7" s="1"/>
  <c r="E21" i="4"/>
  <c r="J21" i="4" s="1"/>
  <c r="I21" i="4" s="1"/>
  <c r="I36" i="5"/>
  <c r="G36" i="5" s="1"/>
  <c r="E43" i="6"/>
  <c r="J43" i="6" s="1"/>
  <c r="G43" i="6" s="1"/>
  <c r="I8" i="7"/>
  <c r="I12" i="7" s="1"/>
  <c r="E43" i="5"/>
  <c r="I43" i="5" s="1"/>
  <c r="G43" i="5" s="1"/>
  <c r="E35" i="6"/>
  <c r="J35" i="6" s="1"/>
  <c r="G35" i="6" s="1"/>
  <c r="E37" i="6"/>
  <c r="J37" i="6" s="1"/>
  <c r="G37" i="6" s="1"/>
  <c r="I9" i="7"/>
  <c r="H9" i="7" s="1"/>
  <c r="I59" i="7"/>
  <c r="H59" i="7" s="1"/>
  <c r="I60" i="7"/>
  <c r="H60" i="7" s="1"/>
  <c r="E39" i="4"/>
  <c r="J39" i="4" s="1"/>
  <c r="I39" i="4" s="1"/>
  <c r="E41" i="4"/>
  <c r="J41" i="4" s="1"/>
  <c r="I41" i="4" s="1"/>
  <c r="E43" i="4"/>
  <c r="J43" i="4" s="1"/>
  <c r="E45" i="4"/>
  <c r="J45" i="4" s="1"/>
  <c r="I45" i="4" s="1"/>
  <c r="G37" i="5"/>
  <c r="I10" i="7"/>
  <c r="H10" i="7" s="1"/>
  <c r="I16" i="7"/>
  <c r="H16" i="7" s="1"/>
  <c r="I45" i="7"/>
  <c r="H45" i="7" s="1"/>
  <c r="I51" i="7"/>
  <c r="H51" i="7" s="1"/>
  <c r="E68" i="7"/>
  <c r="E75" i="7"/>
  <c r="I86" i="7"/>
  <c r="I100" i="7"/>
  <c r="I107" i="7"/>
  <c r="I143" i="7"/>
  <c r="H143" i="7" s="1"/>
  <c r="J42" i="6"/>
  <c r="G42" i="6" s="1"/>
  <c r="E33" i="7"/>
  <c r="E154" i="7"/>
  <c r="I154" i="7" s="1"/>
  <c r="H154" i="7" s="1"/>
  <c r="E82" i="7"/>
  <c r="E27" i="4"/>
  <c r="J27" i="4" s="1"/>
  <c r="I27" i="4" s="1"/>
  <c r="E35" i="5"/>
  <c r="I35" i="5" s="1"/>
  <c r="G35" i="5" s="1"/>
  <c r="B57" i="7"/>
  <c r="E57" i="7" s="1"/>
  <c r="I57" i="7" s="1"/>
  <c r="H57" i="7" s="1"/>
  <c r="E20" i="4"/>
  <c r="J20" i="4" s="1"/>
  <c r="I20" i="4" s="1"/>
  <c r="E24" i="4"/>
  <c r="J24" i="4" s="1"/>
  <c r="I24" i="4" s="1"/>
  <c r="E44" i="5"/>
  <c r="I44" i="5" s="1"/>
  <c r="G44" i="5" s="1"/>
  <c r="E34" i="6"/>
  <c r="J34" i="6" s="1"/>
  <c r="G34" i="6" s="1"/>
  <c r="E36" i="6"/>
  <c r="J36" i="6" s="1"/>
  <c r="G36" i="6" s="1"/>
  <c r="I30" i="7"/>
  <c r="H30" i="7" s="1"/>
  <c r="I73" i="7"/>
  <c r="H73" i="7" s="1"/>
  <c r="I88" i="7"/>
  <c r="I95" i="7"/>
  <c r="I109" i="7"/>
  <c r="H109" i="7" s="1"/>
  <c r="E148" i="7"/>
  <c r="E13" i="4"/>
  <c r="J13" i="4" s="1"/>
  <c r="I13" i="4" s="1"/>
  <c r="E28" i="4"/>
  <c r="J28" i="4" s="1"/>
  <c r="I28" i="4" s="1"/>
  <c r="E30" i="4"/>
  <c r="J30" i="4" s="1"/>
  <c r="I30" i="4" s="1"/>
  <c r="E32" i="4"/>
  <c r="J32" i="4" s="1"/>
  <c r="I32" i="4" s="1"/>
  <c r="E34" i="4"/>
  <c r="J34" i="4" s="1"/>
  <c r="I34" i="4" s="1"/>
  <c r="E36" i="4"/>
  <c r="J36" i="4" s="1"/>
  <c r="I36" i="4" s="1"/>
  <c r="E38" i="4"/>
  <c r="J38" i="4" s="1"/>
  <c r="I38" i="4" s="1"/>
  <c r="E40" i="4"/>
  <c r="J40" i="4" s="1"/>
  <c r="I40" i="4" s="1"/>
  <c r="E42" i="4"/>
  <c r="J42" i="4" s="1"/>
  <c r="I42" i="4" s="1"/>
  <c r="E44" i="4"/>
  <c r="J44" i="4" s="1"/>
  <c r="E47" i="7"/>
  <c r="I79" i="7"/>
  <c r="H79" i="7" s="1"/>
  <c r="K66" i="10"/>
  <c r="O66" i="10" s="1"/>
  <c r="K81" i="10"/>
  <c r="O81" i="10" s="1"/>
  <c r="L16" i="10"/>
  <c r="O16" i="10"/>
  <c r="K64" i="10"/>
  <c r="O64" i="10" s="1"/>
  <c r="K86" i="10"/>
  <c r="O86" i="10" s="1"/>
  <c r="K105" i="10"/>
  <c r="O105" i="10" s="1"/>
  <c r="K56" i="10"/>
  <c r="O56" i="10" s="1"/>
  <c r="O18" i="10"/>
  <c r="M18" i="10"/>
  <c r="L18" i="10"/>
  <c r="M56" i="10"/>
  <c r="M66" i="10"/>
  <c r="K95" i="10"/>
  <c r="L95" i="10"/>
  <c r="K22" i="10"/>
  <c r="O22" i="10" s="1"/>
  <c r="L22" i="10"/>
  <c r="K35" i="10"/>
  <c r="O35" i="10" s="1"/>
  <c r="O84" i="10"/>
  <c r="L84" i="10"/>
  <c r="O20" i="10"/>
  <c r="L20" i="10"/>
  <c r="K37" i="10"/>
  <c r="K109" i="10"/>
  <c r="L109" i="10" s="1"/>
  <c r="K28" i="10"/>
  <c r="O28" i="10" s="1"/>
  <c r="K46" i="10"/>
  <c r="O46" i="10" s="1"/>
  <c r="K15" i="10"/>
  <c r="O15" i="10" s="1"/>
  <c r="K17" i="10"/>
  <c r="M17" i="10" s="1"/>
  <c r="M28" i="10"/>
  <c r="K32" i="10"/>
  <c r="O32" i="10" s="1"/>
  <c r="K34" i="10"/>
  <c r="O34" i="10" s="1"/>
  <c r="K65" i="10"/>
  <c r="O65" i="10" s="1"/>
  <c r="L65" i="10"/>
  <c r="K23" i="10"/>
  <c r="K61" i="10"/>
  <c r="O61" i="10" s="1"/>
  <c r="K71" i="10"/>
  <c r="O71" i="10" s="1"/>
  <c r="O41" i="10"/>
  <c r="L41" i="10"/>
  <c r="K33" i="10"/>
  <c r="O33" i="10" s="1"/>
  <c r="K51" i="10"/>
  <c r="K62" i="10"/>
  <c r="O62" i="10" s="1"/>
  <c r="O19" i="10"/>
  <c r="M19" i="10"/>
  <c r="M33" i="10"/>
  <c r="M22" i="10"/>
  <c r="M42" i="10"/>
  <c r="K80" i="10"/>
  <c r="O80" i="10" s="1"/>
  <c r="L80" i="10"/>
  <c r="L19" i="10"/>
  <c r="M39" i="10"/>
  <c r="L24" i="10"/>
  <c r="K29" i="10"/>
  <c r="O29" i="10" s="1"/>
  <c r="M36" i="10"/>
  <c r="O69" i="10"/>
  <c r="L69" i="10"/>
  <c r="O85" i="10"/>
  <c r="L85" i="10"/>
  <c r="O104" i="10"/>
  <c r="L104" i="10"/>
  <c r="K77" i="10"/>
  <c r="O77" i="10" s="1"/>
  <c r="K31" i="10"/>
  <c r="O31" i="10" s="1"/>
  <c r="K79" i="10"/>
  <c r="O79" i="10" s="1"/>
  <c r="L100" i="10"/>
  <c r="K117" i="10"/>
  <c r="M10" i="10"/>
  <c r="K27" i="10"/>
  <c r="O27" i="10" s="1"/>
  <c r="K58" i="10"/>
  <c r="O58" i="10" s="1"/>
  <c r="K21" i="10"/>
  <c r="O21" i="10" s="1"/>
  <c r="M30" i="10"/>
  <c r="K112" i="10"/>
  <c r="O112" i="10" s="1"/>
  <c r="L112" i="10"/>
  <c r="L10" i="10"/>
  <c r="K14" i="10"/>
  <c r="O14" i="10" s="1"/>
  <c r="M16" i="10"/>
  <c r="M24" i="10"/>
  <c r="K107" i="10"/>
  <c r="K13" i="10"/>
  <c r="O13" i="10" s="1"/>
  <c r="K93" i="10"/>
  <c r="O93" i="10" s="1"/>
  <c r="M44" i="10"/>
  <c r="K120" i="10"/>
  <c r="O120" i="10" s="1"/>
  <c r="L120" i="10"/>
  <c r="K49" i="10"/>
  <c r="O49" i="10" s="1"/>
  <c r="L55" i="10"/>
  <c r="K90" i="10"/>
  <c r="O90" i="10" s="1"/>
  <c r="M99" i="10"/>
  <c r="M58" i="10"/>
  <c r="K38" i="10"/>
  <c r="M38" i="10" s="1"/>
  <c r="K42" i="10"/>
  <c r="K48" i="10"/>
  <c r="K57" i="10"/>
  <c r="O57" i="10" s="1"/>
  <c r="L57" i="10"/>
  <c r="K70" i="10"/>
  <c r="M70" i="10" s="1"/>
  <c r="K94" i="10"/>
  <c r="O94" i="10" s="1"/>
  <c r="K98" i="10"/>
  <c r="M101" i="10"/>
  <c r="L102" i="10"/>
  <c r="K116" i="10"/>
  <c r="O116" i="10" s="1"/>
  <c r="K123" i="10"/>
  <c r="O123" i="10" s="1"/>
  <c r="K9" i="10"/>
  <c r="O9" i="10" s="1"/>
  <c r="K12" i="10"/>
  <c r="L12" i="10" s="1"/>
  <c r="K30" i="10"/>
  <c r="O30" i="10" s="1"/>
  <c r="M41" i="10"/>
  <c r="K43" i="10"/>
  <c r="O43" i="10" s="1"/>
  <c r="L52" i="10"/>
  <c r="K59" i="10"/>
  <c r="O59" i="10" s="1"/>
  <c r="M62" i="10"/>
  <c r="K75" i="10"/>
  <c r="O75" i="10" s="1"/>
  <c r="M85" i="10"/>
  <c r="K89" i="10"/>
  <c r="O89" i="10" s="1"/>
  <c r="L119" i="10"/>
  <c r="M84" i="10"/>
  <c r="L99" i="10"/>
  <c r="M34" i="10"/>
  <c r="K63" i="10"/>
  <c r="O63" i="10" s="1"/>
  <c r="K74" i="10"/>
  <c r="O74" i="10" s="1"/>
  <c r="M120" i="10"/>
  <c r="M49" i="10"/>
  <c r="K60" i="10"/>
  <c r="O60" i="10" s="1"/>
  <c r="K76" i="10"/>
  <c r="O76" i="10" s="1"/>
  <c r="L76" i="10"/>
  <c r="K88" i="10"/>
  <c r="M88" i="10" s="1"/>
  <c r="K55" i="10"/>
  <c r="O55" i="10" s="1"/>
  <c r="M55" i="10"/>
  <c r="K78" i="10"/>
  <c r="O78" i="10" s="1"/>
  <c r="L92" i="10"/>
  <c r="K92" i="10"/>
  <c r="O92" i="10" s="1"/>
  <c r="M112" i="10"/>
  <c r="M20" i="10"/>
  <c r="K45" i="10"/>
  <c r="O45" i="10" s="1"/>
  <c r="M69" i="10"/>
  <c r="K121" i="10"/>
  <c r="O121" i="10" s="1"/>
  <c r="K36" i="10"/>
  <c r="K44" i="10"/>
  <c r="O44" i="10" s="1"/>
  <c r="K47" i="10"/>
  <c r="O47" i="10" s="1"/>
  <c r="K50" i="10"/>
  <c r="O50" i="10" s="1"/>
  <c r="L50" i="10"/>
  <c r="M57" i="10"/>
  <c r="M72" i="10"/>
  <c r="K73" i="10"/>
  <c r="K91" i="10"/>
  <c r="O91" i="10" s="1"/>
  <c r="L91" i="10"/>
  <c r="M94" i="10"/>
  <c r="M100" i="10"/>
  <c r="M104" i="10"/>
  <c r="K108" i="10"/>
  <c r="O108" i="10" s="1"/>
  <c r="K113" i="10"/>
  <c r="O113" i="10" s="1"/>
  <c r="K115" i="10"/>
  <c r="O115" i="10" s="1"/>
  <c r="L97" i="10"/>
  <c r="K83" i="10"/>
  <c r="L101" i="10"/>
  <c r="L114" i="10"/>
  <c r="L122" i="10"/>
  <c r="K72" i="10"/>
  <c r="K87" i="10"/>
  <c r="M87" i="10" s="1"/>
  <c r="M97" i="10"/>
  <c r="K106" i="10"/>
  <c r="M114" i="10"/>
  <c r="M122" i="10"/>
  <c r="I20" i="9"/>
  <c r="G30" i="9"/>
  <c r="E8" i="9"/>
  <c r="J8" i="9" s="1"/>
  <c r="G13" i="9"/>
  <c r="D20" i="9"/>
  <c r="E20" i="9" s="1"/>
  <c r="E22" i="9"/>
  <c r="J22" i="9" s="1"/>
  <c r="J15" i="9"/>
  <c r="G15" i="9" s="1"/>
  <c r="J24" i="9"/>
  <c r="G24" i="9" s="1"/>
  <c r="E50" i="9"/>
  <c r="J50" i="9" s="1"/>
  <c r="J90" i="9"/>
  <c r="E36" i="9"/>
  <c r="J36" i="9" s="1"/>
  <c r="E48" i="9"/>
  <c r="D34" i="9"/>
  <c r="E34" i="9" s="1"/>
  <c r="J32" i="9"/>
  <c r="G32" i="9" s="1"/>
  <c r="D62" i="9"/>
  <c r="E62" i="9" s="1"/>
  <c r="I76" i="9"/>
  <c r="E64" i="9"/>
  <c r="J64" i="9" s="1"/>
  <c r="G78" i="9"/>
  <c r="G90" i="9" s="1"/>
  <c r="I48" i="8"/>
  <c r="G36" i="8"/>
  <c r="E20" i="8"/>
  <c r="I76" i="8"/>
  <c r="G50" i="8"/>
  <c r="I62" i="8"/>
  <c r="E10" i="8"/>
  <c r="I10" i="8" s="1"/>
  <c r="G10" i="8" s="1"/>
  <c r="E18" i="8"/>
  <c r="I18" i="8" s="1"/>
  <c r="G18" i="8" s="1"/>
  <c r="D34" i="8"/>
  <c r="E34" i="8" s="1"/>
  <c r="G8" i="8"/>
  <c r="E15" i="8"/>
  <c r="I15" i="8" s="1"/>
  <c r="G15" i="8" s="1"/>
  <c r="E22" i="8"/>
  <c r="I22" i="8" s="1"/>
  <c r="D62" i="8"/>
  <c r="E62" i="8" s="1"/>
  <c r="E78" i="8"/>
  <c r="I78" i="8" s="1"/>
  <c r="E48" i="8"/>
  <c r="E76" i="8"/>
  <c r="E110" i="7"/>
  <c r="E22" i="7"/>
  <c r="I22" i="7" s="1"/>
  <c r="E26" i="7"/>
  <c r="E103" i="7"/>
  <c r="E99" i="7"/>
  <c r="I99" i="7" s="1"/>
  <c r="H50" i="7"/>
  <c r="H64" i="7"/>
  <c r="E96" i="7"/>
  <c r="H135" i="7"/>
  <c r="E19" i="7"/>
  <c r="E85" i="7"/>
  <c r="I85" i="7" s="1"/>
  <c r="E89" i="7"/>
  <c r="G148" i="7"/>
  <c r="F128" i="7"/>
  <c r="H71" i="7"/>
  <c r="E36" i="7"/>
  <c r="I36" i="7" s="1"/>
  <c r="I65" i="7"/>
  <c r="H65" i="7" s="1"/>
  <c r="E106" i="7"/>
  <c r="I106" i="7" s="1"/>
  <c r="D124" i="7"/>
  <c r="E124" i="7" s="1"/>
  <c r="I124" i="7" s="1"/>
  <c r="H8" i="7"/>
  <c r="H12" i="7" s="1"/>
  <c r="E15" i="7"/>
  <c r="I15" i="7" s="1"/>
  <c r="E92" i="7"/>
  <c r="I92" i="7" s="1"/>
  <c r="F120" i="7"/>
  <c r="H43" i="7"/>
  <c r="G120" i="7"/>
  <c r="D128" i="7"/>
  <c r="E128" i="7" s="1"/>
  <c r="I128" i="7" s="1"/>
  <c r="E54" i="7"/>
  <c r="E78" i="7"/>
  <c r="I78" i="7" s="1"/>
  <c r="I102" i="7"/>
  <c r="E116" i="7"/>
  <c r="I116" i="7" s="1"/>
  <c r="F124" i="7"/>
  <c r="E139" i="7"/>
  <c r="I139" i="7" s="1"/>
  <c r="I68" i="7" l="1"/>
  <c r="M45" i="10"/>
  <c r="L121" i="10"/>
  <c r="M43" i="10"/>
  <c r="L31" i="10"/>
  <c r="L74" i="10"/>
  <c r="L33" i="10"/>
  <c r="L28" i="10"/>
  <c r="L103" i="10"/>
  <c r="M31" i="10"/>
  <c r="K53" i="10"/>
  <c r="M53" i="10" s="1"/>
  <c r="O111" i="10"/>
  <c r="L111" i="10"/>
  <c r="M52" i="10"/>
  <c r="M111" i="10"/>
  <c r="G129" i="7"/>
  <c r="I61" i="7"/>
  <c r="K67" i="10"/>
  <c r="O67" i="10" s="1"/>
  <c r="M61" i="10"/>
  <c r="M21" i="10"/>
  <c r="O103" i="10"/>
  <c r="I33" i="7"/>
  <c r="H139" i="7"/>
  <c r="E61" i="7"/>
  <c r="H124" i="7"/>
  <c r="I75" i="7"/>
  <c r="F129" i="7"/>
  <c r="H75" i="7"/>
  <c r="G62" i="8"/>
  <c r="G48" i="8"/>
  <c r="M92" i="10"/>
  <c r="L77" i="10"/>
  <c r="M50" i="10"/>
  <c r="M76" i="10"/>
  <c r="M27" i="10"/>
  <c r="L62" i="10"/>
  <c r="L61" i="10"/>
  <c r="L13" i="10"/>
  <c r="L11" i="10"/>
  <c r="H29" i="7"/>
  <c r="H33" i="7" s="1"/>
  <c r="H54" i="7"/>
  <c r="I110" i="7"/>
  <c r="H110" i="7" s="1"/>
  <c r="I54" i="7"/>
  <c r="I47" i="7"/>
  <c r="H61" i="7"/>
  <c r="I89" i="7"/>
  <c r="H89" i="7" s="1"/>
  <c r="I96" i="7"/>
  <c r="H96" i="7" s="1"/>
  <c r="I103" i="7"/>
  <c r="H103" i="7" s="1"/>
  <c r="I148" i="7"/>
  <c r="H47" i="7"/>
  <c r="H68" i="7"/>
  <c r="O48" i="10"/>
  <c r="M48" i="10"/>
  <c r="M90" i="10"/>
  <c r="O37" i="10"/>
  <c r="L37" i="10"/>
  <c r="O117" i="10"/>
  <c r="L117" i="10"/>
  <c r="O98" i="10"/>
  <c r="L98" i="10"/>
  <c r="O106" i="10"/>
  <c r="L106" i="10"/>
  <c r="L47" i="10"/>
  <c r="L60" i="10"/>
  <c r="L63" i="10"/>
  <c r="L90" i="10"/>
  <c r="O51" i="10"/>
  <c r="M51" i="10"/>
  <c r="M98" i="10"/>
  <c r="L78" i="10"/>
  <c r="M89" i="10"/>
  <c r="L59" i="10"/>
  <c r="L94" i="10"/>
  <c r="L21" i="10"/>
  <c r="L51" i="10"/>
  <c r="O83" i="10"/>
  <c r="L83" i="10"/>
  <c r="L73" i="10"/>
  <c r="O73" i="10"/>
  <c r="L123" i="10"/>
  <c r="M123" i="10"/>
  <c r="L45" i="10"/>
  <c r="M78" i="10"/>
  <c r="L49" i="10"/>
  <c r="M46" i="10"/>
  <c r="O109" i="10"/>
  <c r="M109" i="10"/>
  <c r="L86" i="10"/>
  <c r="M108" i="10"/>
  <c r="O36" i="10"/>
  <c r="L36" i="10"/>
  <c r="O88" i="10"/>
  <c r="L88" i="10"/>
  <c r="M77" i="10"/>
  <c r="L108" i="10"/>
  <c r="L116" i="10"/>
  <c r="M116" i="10"/>
  <c r="L29" i="10"/>
  <c r="L64" i="10"/>
  <c r="M9" i="10"/>
  <c r="L75" i="10"/>
  <c r="L67" i="10"/>
  <c r="M91" i="10"/>
  <c r="O23" i="10"/>
  <c r="M23" i="10"/>
  <c r="L34" i="10"/>
  <c r="L66" i="10"/>
  <c r="O107" i="10"/>
  <c r="L107" i="10"/>
  <c r="L115" i="10"/>
  <c r="L9" i="10"/>
  <c r="L48" i="10"/>
  <c r="M59" i="10"/>
  <c r="M71" i="10"/>
  <c r="M37" i="10"/>
  <c r="L35" i="10"/>
  <c r="M105" i="10"/>
  <c r="L105" i="10"/>
  <c r="O42" i="10"/>
  <c r="L42" i="10"/>
  <c r="M113" i="10"/>
  <c r="M107" i="10"/>
  <c r="M35" i="10"/>
  <c r="M47" i="10"/>
  <c r="L113" i="10"/>
  <c r="O70" i="10"/>
  <c r="L70" i="10"/>
  <c r="O38" i="10"/>
  <c r="L38" i="10"/>
  <c r="O17" i="10"/>
  <c r="L17" i="10"/>
  <c r="M86" i="10"/>
  <c r="O87" i="10"/>
  <c r="L87" i="10"/>
  <c r="L44" i="10"/>
  <c r="L93" i="10"/>
  <c r="L81" i="10"/>
  <c r="L43" i="10"/>
  <c r="M75" i="10"/>
  <c r="L58" i="10"/>
  <c r="L79" i="10"/>
  <c r="M32" i="10"/>
  <c r="L15" i="10"/>
  <c r="L14" i="10"/>
  <c r="M117" i="10"/>
  <c r="O72" i="10"/>
  <c r="L72" i="10"/>
  <c r="M81" i="10"/>
  <c r="M80" i="10"/>
  <c r="L89" i="10"/>
  <c r="M64" i="10"/>
  <c r="L30" i="10"/>
  <c r="M83" i="10"/>
  <c r="L71" i="10"/>
  <c r="M115" i="10"/>
  <c r="M74" i="10"/>
  <c r="M121" i="10"/>
  <c r="M65" i="10"/>
  <c r="O12" i="10"/>
  <c r="M12" i="10"/>
  <c r="M73" i="10"/>
  <c r="M93" i="10"/>
  <c r="L27" i="10"/>
  <c r="M106" i="10"/>
  <c r="M63" i="10"/>
  <c r="M15" i="10"/>
  <c r="M14" i="10"/>
  <c r="M29" i="10"/>
  <c r="L23" i="10"/>
  <c r="L32" i="10"/>
  <c r="L46" i="10"/>
  <c r="M60" i="10"/>
  <c r="M79" i="10"/>
  <c r="O95" i="10"/>
  <c r="M95" i="10"/>
  <c r="L56" i="10"/>
  <c r="M13" i="10"/>
  <c r="G22" i="9"/>
  <c r="G34" i="9" s="1"/>
  <c r="J34" i="9"/>
  <c r="J20" i="9"/>
  <c r="G8" i="9"/>
  <c r="G20" i="9" s="1"/>
  <c r="G50" i="9"/>
  <c r="G62" i="9" s="1"/>
  <c r="J62" i="9"/>
  <c r="G36" i="9"/>
  <c r="G48" i="9" s="1"/>
  <c r="J48" i="9"/>
  <c r="G64" i="9"/>
  <c r="G76" i="9" s="1"/>
  <c r="J76" i="9"/>
  <c r="G20" i="8"/>
  <c r="I34" i="8"/>
  <c r="G22" i="8"/>
  <c r="G34" i="8" s="1"/>
  <c r="I20" i="8"/>
  <c r="I90" i="8"/>
  <c r="G78" i="8"/>
  <c r="G90" i="8" s="1"/>
  <c r="H116" i="7"/>
  <c r="I129" i="7"/>
  <c r="I82" i="7"/>
  <c r="H78" i="7"/>
  <c r="H82" i="7" s="1"/>
  <c r="H128" i="7"/>
  <c r="D129" i="7"/>
  <c r="E129" i="7" s="1"/>
  <c r="I19" i="7"/>
  <c r="H15" i="7"/>
  <c r="H19" i="7" s="1"/>
  <c r="H36" i="7"/>
  <c r="H40" i="7" s="1"/>
  <c r="I40" i="7"/>
  <c r="H120" i="7"/>
  <c r="I26" i="7"/>
  <c r="H22" i="7"/>
  <c r="H26" i="7" s="1"/>
  <c r="H148" i="7"/>
  <c r="O53" i="10" l="1"/>
  <c r="L53" i="10"/>
  <c r="M67" i="10"/>
  <c r="H129" i="7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89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>
  <authors>
    <author>Windows User</author>
    <author>Mark Ash</author>
  </authors>
  <commentList>
    <comment ref="C60" authorId="0" shapeId="0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0" authorId="1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1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Mark Ash</author>
    <author>Windows User</author>
  </authors>
  <commentList>
    <comment ref="C60" authorId="0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0" authorId="1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1" shapeId="0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H61" authorId="0" shapeId="0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1" authorId="1" shapeId="0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Mark Ash</author>
  </authors>
  <commentList>
    <comment ref="B94" authorId="0" shapeId="0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94" authorId="0" shapeId="0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4" authorId="0" shapeId="0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<sst xmlns="http://schemas.openxmlformats.org/spreadsheetml/2006/main" count="937" uniqueCount="246">
  <si>
    <t>Created March 30, 2018</t>
  </si>
  <si>
    <t xml:space="preserve">Updates of this data, and data covering more years and countries, can be found at </t>
  </si>
  <si>
    <t>http://www.ers.usda.gov/data-products/oil-crops-yearbook.aspx</t>
  </si>
  <si>
    <t>U.S. Soybean Stocks--quarterly</t>
  </si>
  <si>
    <t>Table 1--Soybean stocks:  On-farm, off-farm, and total U.S., by quarter, 1999/00-2017/18</t>
  </si>
  <si>
    <t>U.S. Soybeans and Soybean Products Supply and Disappearance--annual</t>
  </si>
  <si>
    <t>Table 2--Soybeans:  Acreage planted, harvested, yield, production, value, and loan rate, U.S., 1960-2017</t>
  </si>
  <si>
    <t>Table 3--Soybeans:  Supply, disappearance, and price, U.S., 1980/81-2017/18</t>
  </si>
  <si>
    <t>Table 4--Soybean meal:  Supply, disappearance, and price, U.S., 1980/81-2017/18</t>
  </si>
  <si>
    <t>Table 5--Soybean oil:  Supply, disappearance, and price, U.S., 1980/81-2017/18</t>
  </si>
  <si>
    <t>U.S. Soybeans and Soybean Products Supply and Disappearance--crop year quarter and month</t>
  </si>
  <si>
    <t>Table 6--Soybeans: U.S. supply and disappearance, by crop year quarter, 2000/01-2017/18</t>
  </si>
  <si>
    <t>Table 7--Soybean meal:  Supply and disappearance, by month, U.S., 2007/08-2016/17</t>
  </si>
  <si>
    <t>Table 8--Soybean oil:  Supply and disappearance, by month, U.S., 2007/08-2016/17</t>
  </si>
  <si>
    <t>U.S. Soybeans and Soybean Products Price spreads--monthly</t>
  </si>
  <si>
    <t>Table 9--Soybeans: Monthly value of products per bushel of soybeans processed, and spot price spread, U.S., 1990/91-2016/17</t>
  </si>
  <si>
    <t xml:space="preserve">Contacts: Mark Ash at mash@ers.usda.gov    </t>
  </si>
  <si>
    <t xml:space="preserve">and Mariana Matias at mariana.matias@ers.usda.gov   </t>
  </si>
  <si>
    <t>Date</t>
  </si>
  <si>
    <t>On-farm</t>
  </si>
  <si>
    <t>Off-farm</t>
  </si>
  <si>
    <t>Total</t>
  </si>
  <si>
    <t>1,000 bushels</t>
  </si>
  <si>
    <t>1999/00</t>
  </si>
  <si>
    <t xml:space="preserve">  December 1</t>
  </si>
  <si>
    <t xml:space="preserve">  March 1</t>
  </si>
  <si>
    <t xml:space="preserve">  June 1</t>
  </si>
  <si>
    <t xml:space="preserve">  September 1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</si>
  <si>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</si>
  <si>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</si>
  <si>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</si>
  <si>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</si>
  <si>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</si>
  <si>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</si>
  <si>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</si>
  <si>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</si>
  <si>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</si>
  <si>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</si>
  <si>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</si>
  <si>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</si>
  <si>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</si>
  <si>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</si>
  <si>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</si>
  <si>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</si>
  <si>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</si>
  <si>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</si>
  <si>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>.</t>
    </r>
  </si>
  <si>
    <t>Last updated: March 30, 2018</t>
  </si>
  <si>
    <t>Year</t>
  </si>
  <si>
    <t>Planted</t>
  </si>
  <si>
    <t>Harvested</t>
  </si>
  <si>
    <t>Yield</t>
  </si>
  <si>
    <t>Production</t>
  </si>
  <si>
    <t>Value</t>
  </si>
  <si>
    <t>Loan</t>
  </si>
  <si>
    <t>per acre</t>
  </si>
  <si>
    <t>rate 1/</t>
  </si>
  <si>
    <t>----------------1,000 acres---------------------</t>
  </si>
  <si>
    <t>Bushels</t>
  </si>
  <si>
    <t>$/bu.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</si>
  <si>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</si>
  <si>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</si>
  <si>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</si>
  <si>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</si>
  <si>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</si>
  <si>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</si>
  <si>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</si>
  <si>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</si>
  <si>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</si>
  <si>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</si>
  <si>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</si>
  <si>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</si>
  <si>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</si>
  <si>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</si>
  <si>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</si>
  <si>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</si>
  <si>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 xml:space="preserve">               N.A.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</si>
  <si>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</si>
  <si>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</si>
  <si>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</si>
  <si>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</si>
  <si>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</si>
  <si>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</si>
  <si>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</si>
  <si>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</si>
  <si>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</si>
  <si>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</si>
  <si>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</si>
  <si>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</si>
  <si>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</si>
  <si>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</si>
  <si>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</si>
  <si>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</si>
  <si>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</si>
  <si>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</si>
  <si>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</si>
  <si>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</si>
  <si>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</si>
  <si>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</si>
  <si>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1998 </t>
  </si>
  <si>
    <t>1999</t>
  </si>
  <si>
    <t xml:space="preserve">  N.A. =  Not applicable.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</si>
  <si>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</si>
  <si>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</si>
  <si>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</si>
  <si>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</si>
  <si>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t xml:space="preserve">  Year</t>
  </si>
  <si>
    <t>Supply</t>
  </si>
  <si>
    <t>Disappearance</t>
  </si>
  <si>
    <t>Price</t>
  </si>
  <si>
    <t>beginning</t>
  </si>
  <si>
    <t>Beginning</t>
  </si>
  <si>
    <t>Seed, feed</t>
  </si>
  <si>
    <t>Ending</t>
  </si>
  <si>
    <t>Season-average</t>
  </si>
  <si>
    <t>September 1</t>
  </si>
  <si>
    <t>stocks</t>
  </si>
  <si>
    <t>Imports</t>
  </si>
  <si>
    <t>Total 1/</t>
  </si>
  <si>
    <t>Crush</t>
  </si>
  <si>
    <t>Exports</t>
  </si>
  <si>
    <t>and</t>
  </si>
  <si>
    <t>received</t>
  </si>
  <si>
    <t>residual</t>
  </si>
  <si>
    <t>by farmers</t>
  </si>
  <si>
    <t>Million bushels</t>
  </si>
  <si>
    <t>$/bushel</t>
  </si>
  <si>
    <t>9.00-9.60</t>
  </si>
  <si>
    <t>1/ Total supply includes imports.  2/ Forecast.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</si>
  <si>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 and</t>
    </r>
    <r>
      <rPr>
        <i/>
        <sz val="8"/>
        <rFont val="Helvetica"/>
        <family val="2"/>
      </rPr>
      <t/>
    </r>
  </si>
  <si>
    <r>
      <rPr>
        <i/>
        <sz val="8"/>
        <rFont val="Helvetica"/>
      </rPr>
      <t xml:space="preserve"> Fats &amp; Oils: Oilseed Crushings</t>
    </r>
    <r>
      <rPr>
        <sz val="8"/>
        <rFont val="Helvetica"/>
      </rPr>
      <t xml:space="preserve">, </t>
    </r>
    <r>
      <rPr>
        <i/>
        <sz val="8"/>
        <rFont val="Helvetica"/>
      </rPr>
      <t>Agricultural Prices</t>
    </r>
    <r>
      <rPr>
        <sz val="8"/>
        <rFont val="Helvetica"/>
      </rPr>
      <t xml:space="preserve">, and USDA, Foreign Agricultural Service, </t>
    </r>
    <r>
      <rPr>
        <i/>
        <sz val="8"/>
        <rFont val="Helvetica"/>
      </rPr>
      <t>Global Agricultural Trade System</t>
    </r>
    <r>
      <rPr>
        <sz val="8"/>
        <rFont val="Helvetica"/>
        <family val="2"/>
      </rPr>
      <t>.</t>
    </r>
  </si>
  <si>
    <t xml:space="preserve">  Year      </t>
  </si>
  <si>
    <t>48% protein,</t>
  </si>
  <si>
    <t>October 1</t>
  </si>
  <si>
    <t>stocks 1/</t>
  </si>
  <si>
    <t>Production 1/</t>
  </si>
  <si>
    <t>Domestic</t>
  </si>
  <si>
    <t>Decatur</t>
  </si>
  <si>
    <t>(solvent)</t>
  </si>
  <si>
    <t>1,000 short tons</t>
  </si>
  <si>
    <t>$/short ton</t>
  </si>
  <si>
    <t>2017  2/</t>
  </si>
  <si>
    <t>325-355</t>
  </si>
  <si>
    <t>1/ Includes millfeed (hull meal).  2/  Forecast.</t>
  </si>
  <si>
    <t xml:space="preserve">Sources: USDA, Economic Research Service using data from USDA, National Agricultural Statistics Service, Fats &amp; Oils: Oilseed Crushings, USDA, Agricultural </t>
  </si>
  <si>
    <r>
      <t xml:space="preserve">Marketing Service, National Monthly Feedstuff Prices,  </t>
    </r>
    <r>
      <rPr>
        <sz val="8"/>
        <rFont val="Helvetica"/>
      </rPr>
      <t>and USDA, Foreign Agricultural Service,</t>
    </r>
    <r>
      <rPr>
        <i/>
        <sz val="8"/>
        <rFont val="Helvetica"/>
      </rPr>
      <t xml:space="preserve"> Global Agricultural Trade Internet System</t>
    </r>
    <r>
      <rPr>
        <sz val="8"/>
        <rFont val="Helvetica"/>
        <family val="2"/>
      </rPr>
      <t>.</t>
    </r>
  </si>
  <si>
    <t>Crude,</t>
  </si>
  <si>
    <t>Methyl ester</t>
  </si>
  <si>
    <t>Million pounds</t>
  </si>
  <si>
    <t>Cents/pound</t>
  </si>
  <si>
    <t>---</t>
  </si>
  <si>
    <t>2017  1/</t>
  </si>
  <si>
    <t>30.00-33.00</t>
  </si>
  <si>
    <t>1/ Forecast.</t>
  </si>
  <si>
    <r>
      <t xml:space="preserve">Sources: USDA, Economic Research Service using data from USDA, National Agricultural Statistics Service, </t>
    </r>
    <r>
      <rPr>
        <i/>
        <sz val="8"/>
        <rFont val="Helvetica"/>
      </rPr>
      <t>Fats &amp; Oils: Oilseed Crushings</t>
    </r>
    <r>
      <rPr>
        <sz val="8"/>
        <rFont val="Helvetica"/>
        <family val="2"/>
      </rPr>
      <t xml:space="preserve">, </t>
    </r>
  </si>
  <si>
    <r>
      <rPr>
        <sz val="8"/>
        <rFont val="Helvetica"/>
      </rPr>
      <t>USDA, Agricultural Marketing Service,</t>
    </r>
    <r>
      <rPr>
        <i/>
        <sz val="8"/>
        <rFont val="Helvetica"/>
      </rPr>
      <t xml:space="preserve"> National Monthly Feedstuff Prices, and </t>
    </r>
    <r>
      <rPr>
        <sz val="8"/>
        <rFont val="Helvetica"/>
      </rPr>
      <t>USDA, Foreign Agricultural Service,</t>
    </r>
    <r>
      <rPr>
        <i/>
        <sz val="8"/>
        <rFont val="Helvetica"/>
      </rPr>
      <t xml:space="preserve"> Global Agricultural Trade System, </t>
    </r>
    <r>
      <rPr>
        <sz val="8"/>
        <rFont val="Helvetica"/>
      </rPr>
      <t>and</t>
    </r>
    <r>
      <rPr>
        <i/>
        <sz val="8"/>
        <rFont val="Helvetica"/>
        <family val="2"/>
      </rPr>
      <t xml:space="preserve"> </t>
    </r>
    <r>
      <rPr>
        <sz val="8"/>
        <rFont val="Helvetica"/>
      </rPr>
      <t xml:space="preserve">Energy </t>
    </r>
  </si>
  <si>
    <r>
      <t xml:space="preserve">Information Administration, </t>
    </r>
    <r>
      <rPr>
        <i/>
        <sz val="8"/>
        <rFont val="Helvetica"/>
      </rPr>
      <t>Monthly Biodiesel Production Report</t>
    </r>
    <r>
      <rPr>
        <sz val="8"/>
        <rFont val="Helvetica"/>
      </rPr>
      <t>.</t>
    </r>
  </si>
  <si>
    <t xml:space="preserve">  Year </t>
  </si>
  <si>
    <t xml:space="preserve">Total </t>
  </si>
  <si>
    <t>Seed, feed,</t>
  </si>
  <si>
    <t xml:space="preserve">September 1 </t>
  </si>
  <si>
    <t>and residual</t>
  </si>
  <si>
    <t xml:space="preserve">Sep.-Nov. </t>
  </si>
  <si>
    <t xml:space="preserve">Dec.-Feb. </t>
  </si>
  <si>
    <t>Mar.-May</t>
  </si>
  <si>
    <t>June-Aug.</t>
  </si>
  <si>
    <t xml:space="preserve">    Total</t>
  </si>
  <si>
    <t>Sep.-Nov.</t>
  </si>
  <si>
    <t>Dec.-Feb.</t>
  </si>
  <si>
    <t xml:space="preserve">    Total </t>
  </si>
  <si>
    <t xml:space="preserve"> Total </t>
  </si>
  <si>
    <t>NA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</si>
  <si>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</si>
  <si>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</si>
  <si>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</si>
  <si>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</si>
  <si>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January</t>
  </si>
  <si>
    <t xml:space="preserve">  February</t>
  </si>
  <si>
    <t xml:space="preserve">  March</t>
  </si>
  <si>
    <t xml:space="preserve">  April</t>
  </si>
  <si>
    <t xml:space="preserve">  May</t>
  </si>
  <si>
    <t>June</t>
  </si>
  <si>
    <t xml:space="preserve">July </t>
  </si>
  <si>
    <t>August</t>
  </si>
  <si>
    <r>
      <t xml:space="preserve">Sources:  USDA, Economic Research Service using data from USDA, National Agricultural Statistics Service, </t>
    </r>
    <r>
      <rPr>
        <i/>
        <sz val="8"/>
        <rFont val="Helvetica"/>
      </rPr>
      <t>Fats &amp; Oils: Oilseed Crushings</t>
    </r>
    <r>
      <rPr>
        <sz val="8"/>
        <rFont val="Helvetica"/>
      </rPr>
      <t xml:space="preserve"> and Foreign Agricultural Service, </t>
    </r>
  </si>
  <si>
    <t>Global Agricultural Trade System.</t>
  </si>
  <si>
    <t>Supply 1/</t>
  </si>
  <si>
    <t>Disappearance 1/</t>
  </si>
  <si>
    <t>use</t>
  </si>
  <si>
    <t xml:space="preserve">October 1 </t>
  </si>
  <si>
    <t xml:space="preserve">  May </t>
  </si>
  <si>
    <t xml:space="preserve">  June</t>
  </si>
  <si>
    <t xml:space="preserve">  July</t>
  </si>
  <si>
    <t xml:space="preserve">  August</t>
  </si>
  <si>
    <t xml:space="preserve"> 1/ Includes millfeed (hull meal) and soy flour. Note: Monthly production data not available for 2011/12-2014-15.</t>
  </si>
  <si>
    <r>
      <t xml:space="preserve">Sources:  USDA, Economic Research Service using data from USDA, National Agricultural Statistics Service, </t>
    </r>
    <r>
      <rPr>
        <i/>
        <sz val="8"/>
        <rFont val="Helvetica"/>
      </rPr>
      <t>Fats &amp; Oils: Oilseed Crushings</t>
    </r>
    <r>
      <rPr>
        <sz val="8"/>
        <rFont val="Helvetica"/>
      </rPr>
      <t xml:space="preserve"> and </t>
    </r>
  </si>
  <si>
    <t>USDA, Foreign Agricultural Service, Global Agricultural Trade System.</t>
  </si>
  <si>
    <r>
      <t>Methyl ester</t>
    </r>
    <r>
      <rPr>
        <vertAlign val="superscript"/>
        <sz val="8"/>
        <rFont val="Helvetica"/>
        <family val="2"/>
      </rPr>
      <t>1</t>
    </r>
  </si>
  <si>
    <t>1,000 pounds</t>
  </si>
  <si>
    <t>1 Prior to January 2006, methyl ester consumption based on quarterly data from the CCC Bioenergy Program. Note: Monthly production data not available for 2011/12-2014-15.</t>
  </si>
  <si>
    <t>No. 1</t>
  </si>
  <si>
    <t>Spread</t>
  </si>
  <si>
    <t xml:space="preserve"> Value of products per bushel</t>
  </si>
  <si>
    <t>Percent of value</t>
  </si>
  <si>
    <t>yellow</t>
  </si>
  <si>
    <t xml:space="preserve">between value </t>
  </si>
  <si>
    <t>Soybean oil</t>
  </si>
  <si>
    <t>Soybean meal</t>
  </si>
  <si>
    <t>Soybean hulls</t>
  </si>
  <si>
    <t>value</t>
  </si>
  <si>
    <t>Soybean</t>
  </si>
  <si>
    <t>Illinois</t>
  </si>
  <si>
    <t>of products and</t>
  </si>
  <si>
    <t>Price 1/</t>
  </si>
  <si>
    <t>Price 2/</t>
  </si>
  <si>
    <t>Price 3/</t>
  </si>
  <si>
    <t>oil</t>
  </si>
  <si>
    <t>meal + hulls</t>
  </si>
  <si>
    <t>processor</t>
  </si>
  <si>
    <t>soybean price</t>
  </si>
  <si>
    <t>Lbs.</t>
  </si>
  <si>
    <t>Cents</t>
  </si>
  <si>
    <t>$</t>
  </si>
  <si>
    <t>--------Dollars--------</t>
  </si>
  <si>
    <t>Dollars</t>
  </si>
  <si>
    <t>--------Percent---------</t>
  </si>
  <si>
    <t>-------------Dollars-------------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</si>
  <si>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</si>
  <si>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</si>
  <si>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</si>
  <si>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</si>
  <si>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</si>
  <si>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</si>
  <si>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</si>
  <si>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</si>
  <si>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</si>
  <si>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</si>
  <si>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 xml:space="preserve">    Average</t>
  </si>
  <si>
    <r>
      <t xml:space="preserve">Sources:   USDA, Economic Research Service using data from USDA, National Agricultural Statistics Service, </t>
    </r>
    <r>
      <rPr>
        <i/>
        <sz val="8"/>
        <rFont val="Helvetica"/>
      </rPr>
      <t>Fats &amp; Oils: Oilseed Crushings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</rPr>
      <t/>
    </r>
  </si>
  <si>
    <r>
      <rPr>
        <i/>
        <sz val="8"/>
        <rFont val="Helvetica"/>
      </rPr>
      <t>National Monthly Feedstuff Prices</t>
    </r>
    <r>
      <rPr>
        <sz val="8"/>
        <rFont val="Helvetica"/>
        <family val="2"/>
      </rPr>
      <t>.</t>
    </r>
  </si>
  <si>
    <t xml:space="preserve">  1/ Crude, tanks, f.o.b. central Illinois.  2/ 44 percent (solvent), Decatur, based on Sept.- Aug. year.  Beginning 2001/02, 48 percent solvent.</t>
  </si>
  <si>
    <t xml:space="preserve">  2/ 44 percent (solvent), Decatur, based on Sept.- Aug. year.  Beginning 2001/02, 48 percent solvent.</t>
  </si>
  <si>
    <t xml:space="preserve">  3/ Central Illinois, bulk.  Note: Monthly production data not available for 2011/12-2014-15.</t>
  </si>
  <si>
    <t>Soybean U.S. stocks: On-farm, off-farm, and total  by quarter, U.S. soybean  acreage planted, harvested, yield, Soybean and soybean meal production, value, price and supply and disappearance, prices  1999/00-2017/18</t>
  </si>
  <si>
    <t>Crush as % of production</t>
  </si>
  <si>
    <t>Exports as %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</si>
</sst>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164" formatCode="#,##0___________________)"/>
    <numFmt numFmtId="165" formatCode="#,##0_________)"/>
    <numFmt numFmtId="166" formatCode="#,##0.0___________)"/>
    <numFmt numFmtId="167" formatCode="#,##0.00_____________)"/>
    <numFmt numFmtId="168" formatCode="#,##0_______)"/>
    <numFmt numFmtId="169" formatCode="#,##0.00_______)"/>
    <numFmt numFmtId="170" formatCode="#,##0___________)"/>
    <numFmt numFmtId="171" formatCode="#,##0.0_______)"/>
    <numFmt numFmtId="172" formatCode="#,##0___)"/>
    <numFmt numFmtId="173" formatCode="#,##0.00___)"/>
    <numFmt numFmtId="174" formatCode="0.00_)"/>
    <numFmt numFmtId="175" formatCode="#,##0.00___________)"/>
  </numFmts>
  <fonts count="20" x14ac:knownFonts="1">
    <font>
      <sz val="8"/>
      <name val="Helvetica"/>
    </font>
    <font>
      <sz val="10"/>
      <name val="Arial"/>
      <family val="2"/>
    </font>
    <font>
      <sz val="8"/>
      <name val="Helvetica"/>
    </font>
    <font>
      <b/>
      <sz val="14"/>
      <name val="Helvetica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u/>
      <sz val="8"/>
      <color indexed="12"/>
      <name val="Helvetica"/>
      <family val="2"/>
    </font>
    <font>
      <i/>
      <sz val="10"/>
      <name val="Arial"/>
      <family val="2"/>
    </font>
    <font>
      <b/>
      <sz val="10"/>
      <name val="Calibri"/>
      <family val="2"/>
    </font>
    <font>
      <sz val="8"/>
      <name val="Helvetica"/>
      <family val="2"/>
    </font>
    <font>
      <i/>
      <sz val="8"/>
      <name val="Helvetica"/>
      <family val="2"/>
    </font>
    <font>
      <i/>
      <sz val="8"/>
      <color indexed="8"/>
      <name val="Arial"/>
      <family val="2"/>
    </font>
    <font>
      <i/>
      <sz val="8"/>
      <name val="Helvetica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vertAlign val="superscript"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35">
    <xf numFmtId="0" fontId="0" fillId="0" borderId="0" xfId="0"/>
    <xf numFmtId="0" fontId="1" fillId="0" borderId="0" xfId="1" applyFont="1" applyBorder="1" applyAlignment="1">
      <alignment vertical="top" wrapText="1"/>
    </xf>
    <xf numFmtId="0" fontId="1" fillId="0" borderId="0" xfId="1" applyFont="1"/>
    <xf numFmtId="0" fontId="5" fillId="0" borderId="0" xfId="2" applyFont="1" applyAlignment="1" applyProtection="1"/>
    <xf numFmtId="0" fontId="6" fillId="0" borderId="0" xfId="1" applyFont="1"/>
    <xf numFmtId="0" fontId="7" fillId="0" borderId="0" xfId="0" applyFont="1" applyAlignment="1">
      <alignment horizontal="left"/>
    </xf>
    <xf numFmtId="0" fontId="1" fillId="0" borderId="0" xfId="1" quotePrefix="1" applyFont="1"/>
    <xf numFmtId="0" fontId="0" fillId="0" borderId="0" xfId="0" applyAlignment="1">
      <alignment horizontal="left"/>
    </xf>
    <xf numFmtId="0" fontId="8" fillId="0" borderId="0" xfId="3" applyAlignment="1" applyProtection="1"/>
    <xf numFmtId="0" fontId="8" fillId="0" borderId="0" xfId="3" applyAlignment="1" applyProtection="1">
      <alignment horizontal="left"/>
    </xf>
    <xf numFmtId="0" fontId="9" fillId="0" borderId="0" xfId="1" applyFont="1"/>
    <xf numFmtId="0" fontId="10" fillId="0" borderId="0" xfId="1" applyFont="1"/>
    <xf numFmtId="0" fontId="1" fillId="0" borderId="0" xfId="1" applyFont="1" applyBorder="1" applyAlignment="1">
      <alignment wrapText="1"/>
    </xf>
    <xf numFmtId="0" fontId="8" fillId="0" borderId="0" xfId="3" quotePrefix="1" applyAlignment="1" applyProtection="1">
      <alignment horizontal="left"/>
    </xf>
    <xf numFmtId="0" fontId="0" fillId="0" borderId="0" xfId="0" quotePrefix="1" applyAlignment="1">
      <alignment horizontal="left"/>
    </xf>
    <xf numFmtId="0" fontId="1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0" fillId="0" borderId="0" xfId="0" quotePrefix="1"/>
    <xf numFmtId="0" fontId="11" fillId="0" borderId="0" xfId="0" quotePrefix="1" applyFont="1"/>
    <xf numFmtId="164" fontId="0" fillId="0" borderId="0" xfId="0" applyNumberFormat="1" applyFill="1"/>
    <xf numFmtId="164" fontId="0" fillId="0" borderId="1" xfId="0" applyNumberFormat="1" applyBorder="1"/>
    <xf numFmtId="0" fontId="11" fillId="0" borderId="0" xfId="0" applyFont="1"/>
    <xf numFmtId="164" fontId="0" fillId="0" borderId="0" xfId="0" applyNumberFormat="1" applyAlignment="1">
      <alignment horizontal="right"/>
    </xf>
    <xf numFmtId="0" fontId="13" fillId="0" borderId="0" xfId="4" applyFont="1" applyAlignment="1" applyProtection="1">
      <alignment horizontal="right" vertical="top" wrapText="1" readingOrder="1"/>
      <protection locked="0"/>
    </xf>
    <xf numFmtId="0" fontId="11" fillId="0" borderId="0" xfId="4" applyAlignment="1">
      <alignment readingOrder="1"/>
    </xf>
    <xf numFmtId="0" fontId="11" fillId="0" borderId="1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indent="1"/>
    </xf>
    <xf numFmtId="6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/>
    <xf numFmtId="166" fontId="0" fillId="0" borderId="0" xfId="0" applyNumberFormat="1" applyBorder="1"/>
    <xf numFmtId="167" fontId="0" fillId="0" borderId="0" xfId="0" applyNumberFormat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 applyFill="1" applyBorder="1"/>
    <xf numFmtId="0" fontId="11" fillId="0" borderId="1" xfId="0" applyFont="1" applyBorder="1" applyAlignment="1">
      <alignment horizontal="left"/>
    </xf>
    <xf numFmtId="165" fontId="0" fillId="0" borderId="1" xfId="0" applyNumberFormat="1" applyBorder="1"/>
    <xf numFmtId="165" fontId="0" fillId="0" borderId="1" xfId="0" applyNumberFormat="1" applyFill="1" applyBorder="1"/>
    <xf numFmtId="166" fontId="0" fillId="0" borderId="1" xfId="0" applyNumberFormat="1" applyBorder="1"/>
    <xf numFmtId="167" fontId="0" fillId="0" borderId="1" xfId="0" applyNumberFormat="1" applyBorder="1"/>
    <xf numFmtId="0" fontId="14" fillId="0" borderId="0" xfId="0" applyFont="1"/>
    <xf numFmtId="0" fontId="11" fillId="0" borderId="0" xfId="0" applyFont="1" applyAlignment="1">
      <alignment horizontal="right"/>
    </xf>
    <xf numFmtId="0" fontId="0" fillId="0" borderId="2" xfId="0" applyBorder="1" applyAlignment="1">
      <alignment horizontal="left" indent="6"/>
    </xf>
    <xf numFmtId="0" fontId="0" fillId="0" borderId="2" xfId="0" applyBorder="1" applyAlignment="1">
      <alignment horizontal="left" indent="3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168" fontId="0" fillId="0" borderId="0" xfId="0" applyNumberFormat="1"/>
    <xf numFmtId="168" fontId="0" fillId="0" borderId="0" xfId="0" applyNumberFormat="1" applyBorder="1"/>
    <xf numFmtId="169" fontId="0" fillId="0" borderId="0" xfId="0" applyNumberFormat="1"/>
    <xf numFmtId="168" fontId="0" fillId="0" borderId="0" xfId="0" applyNumberFormat="1" applyFill="1"/>
    <xf numFmtId="169" fontId="0" fillId="0" borderId="0" xfId="0" applyNumberFormat="1" applyFill="1"/>
    <xf numFmtId="168" fontId="0" fillId="0" borderId="1" xfId="0" applyNumberFormat="1" applyBorder="1"/>
    <xf numFmtId="168" fontId="0" fillId="0" borderId="1" xfId="0" applyNumberFormat="1" applyFill="1" applyBorder="1"/>
    <xf numFmtId="169" fontId="0" fillId="0" borderId="1" xfId="0" quotePrefix="1" applyNumberFormat="1" applyFill="1" applyBorder="1" applyAlignment="1">
      <alignment horizontal="center"/>
    </xf>
    <xf numFmtId="168" fontId="0" fillId="0" borderId="0" xfId="0" applyNumberFormat="1" applyFill="1" applyBorder="1"/>
    <xf numFmtId="0" fontId="11" fillId="0" borderId="0" xfId="0" quotePrefix="1" applyFont="1" applyAlignment="1">
      <alignment horizontal="left"/>
    </xf>
    <xf numFmtId="0" fontId="0" fillId="0" borderId="2" xfId="0" applyBorder="1" applyAlignment="1">
      <alignment horizontal="left" indent="7"/>
    </xf>
    <xf numFmtId="0" fontId="0" fillId="0" borderId="0" xfId="0" applyBorder="1" applyAlignment="1">
      <alignment horizontal="left" indent="3"/>
    </xf>
    <xf numFmtId="0" fontId="0" fillId="0" borderId="3" xfId="0" quotePrefix="1" applyBorder="1" applyAlignment="1">
      <alignment horizontal="left" indent="5"/>
    </xf>
    <xf numFmtId="2" fontId="0" fillId="0" borderId="0" xfId="0" applyNumberFormat="1"/>
    <xf numFmtId="169" fontId="0" fillId="0" borderId="0" xfId="0" applyNumberFormat="1" applyBorder="1"/>
    <xf numFmtId="169" fontId="0" fillId="0" borderId="0" xfId="0" applyNumberFormat="1" applyFill="1" applyBorder="1"/>
    <xf numFmtId="0" fontId="0" fillId="0" borderId="0" xfId="0" applyBorder="1" applyAlignment="1">
      <alignment horizontal="centerContinuous"/>
    </xf>
    <xf numFmtId="0" fontId="0" fillId="0" borderId="2" xfId="0" applyBorder="1" applyAlignment="1">
      <alignment horizontal="left" indent="4"/>
    </xf>
    <xf numFmtId="0" fontId="0" fillId="0" borderId="2" xfId="0" applyBorder="1" applyAlignment="1"/>
    <xf numFmtId="0" fontId="0" fillId="0" borderId="1" xfId="0" applyBorder="1" applyAlignment="1">
      <alignment horizontal="left" indent="2"/>
    </xf>
    <xf numFmtId="0" fontId="0" fillId="0" borderId="1" xfId="0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indent="9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1"/>
    </xf>
    <xf numFmtId="170" fontId="0" fillId="0" borderId="0" xfId="0" applyNumberFormat="1" applyBorder="1"/>
    <xf numFmtId="170" fontId="0" fillId="0" borderId="0" xfId="0" applyNumberFormat="1" applyFill="1" applyBorder="1"/>
    <xf numFmtId="170" fontId="0" fillId="0" borderId="1" xfId="0" applyNumberFormat="1" applyBorder="1"/>
    <xf numFmtId="17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3" xfId="0" applyBorder="1" applyAlignment="1">
      <alignment horizontal="left" indent="4"/>
    </xf>
    <xf numFmtId="171" fontId="0" fillId="0" borderId="0" xfId="0" applyNumberFormat="1" applyBorder="1"/>
    <xf numFmtId="171" fontId="0" fillId="0" borderId="0" xfId="0" applyNumberFormat="1" applyBorder="1" applyAlignment="1"/>
    <xf numFmtId="171" fontId="0" fillId="0" borderId="0" xfId="0" applyNumberFormat="1"/>
    <xf numFmtId="171" fontId="0" fillId="0" borderId="0" xfId="0" applyNumberFormat="1" applyFill="1" applyBorder="1" applyAlignment="1"/>
    <xf numFmtId="171" fontId="0" fillId="0" borderId="0" xfId="0" applyNumberFormat="1" applyFill="1"/>
    <xf numFmtId="171" fontId="0" fillId="0" borderId="0" xfId="0" applyNumberFormat="1" applyFill="1" applyBorder="1"/>
    <xf numFmtId="171" fontId="0" fillId="0" borderId="1" xfId="0" applyNumberFormat="1" applyBorder="1"/>
    <xf numFmtId="171" fontId="0" fillId="0" borderId="1" xfId="0" applyNumberFormat="1" applyBorder="1" applyAlignment="1"/>
    <xf numFmtId="0" fontId="0" fillId="0" borderId="0" xfId="0" applyFill="1" applyBorder="1" applyAlignment="1">
      <alignment horizontal="center"/>
    </xf>
    <xf numFmtId="172" fontId="0" fillId="0" borderId="0" xfId="0" applyNumberFormat="1"/>
    <xf numFmtId="172" fontId="0" fillId="0" borderId="0" xfId="0" applyNumberFormat="1" applyBorder="1"/>
    <xf numFmtId="172" fontId="0" fillId="0" borderId="0" xfId="0" applyNumberFormat="1" applyAlignment="1">
      <alignment horizontal="right" indent="1"/>
    </xf>
    <xf numFmtId="172" fontId="0" fillId="0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Alignment="1">
      <alignment horizontal="right" indent="1"/>
    </xf>
    <xf numFmtId="172" fontId="0" fillId="0" borderId="1" xfId="0" applyNumberFormat="1" applyBorder="1"/>
    <xf numFmtId="172" fontId="0" fillId="0" borderId="1" xfId="0" applyNumberFormat="1" applyBorder="1" applyAlignment="1">
      <alignment horizontal="right" indent="1"/>
    </xf>
    <xf numFmtId="0" fontId="0" fillId="0" borderId="2" xfId="0" applyBorder="1" applyAlignment="1">
      <alignment horizontal="left"/>
    </xf>
    <xf numFmtId="0" fontId="0" fillId="0" borderId="3" xfId="0" quotePrefix="1" applyBorder="1" applyAlignment="1">
      <alignment horizontal="left" indent="1"/>
    </xf>
    <xf numFmtId="0" fontId="0" fillId="0" borderId="0" xfId="0" quotePrefix="1" applyBorder="1" applyAlignment="1">
      <alignment horizontal="left"/>
    </xf>
    <xf numFmtId="173" fontId="0" fillId="0" borderId="0" xfId="0" applyNumberFormat="1"/>
    <xf numFmtId="173" fontId="0" fillId="0" borderId="0" xfId="0" applyNumberFormat="1" applyBorder="1"/>
    <xf numFmtId="173" fontId="2" fillId="0" borderId="0" xfId="0" applyNumberFormat="1" applyFont="1"/>
    <xf numFmtId="174" fontId="0" fillId="0" borderId="0" xfId="0" applyNumberFormat="1" applyAlignment="1" applyProtection="1">
      <alignment horizontal="left" indent="4"/>
    </xf>
    <xf numFmtId="175" fontId="0" fillId="0" borderId="0" xfId="0" applyNumberFormat="1"/>
    <xf numFmtId="173" fontId="2" fillId="0" borderId="0" xfId="0" applyNumberFormat="1" applyFont="1" applyBorder="1"/>
    <xf numFmtId="175" fontId="0" fillId="0" borderId="0" xfId="0" applyNumberFormat="1" applyBorder="1"/>
    <xf numFmtId="174" fontId="0" fillId="0" borderId="0" xfId="0" applyNumberFormat="1" applyProtection="1"/>
    <xf numFmtId="174" fontId="0" fillId="0" borderId="0" xfId="0" applyNumberFormat="1" applyBorder="1" applyProtection="1"/>
    <xf numFmtId="174" fontId="0" fillId="0" borderId="0" xfId="0" applyNumberFormat="1"/>
    <xf numFmtId="174" fontId="0" fillId="0" borderId="0" xfId="0" applyNumberFormat="1" applyBorder="1"/>
    <xf numFmtId="174" fontId="0" fillId="0" borderId="0" xfId="0" applyNumberFormat="1" applyFill="1"/>
    <xf numFmtId="173" fontId="0" fillId="0" borderId="0" xfId="0" applyNumberFormat="1" applyFill="1" applyBorder="1"/>
    <xf numFmtId="173" fontId="0" fillId="0" borderId="0" xfId="0" applyNumberFormat="1" applyFill="1"/>
    <xf numFmtId="174" fontId="0" fillId="0" borderId="0" xfId="0" applyNumberFormat="1" applyFill="1" applyProtection="1"/>
    <xf numFmtId="174" fontId="0" fillId="0" borderId="1" xfId="0" applyNumberFormat="1" applyFill="1" applyBorder="1"/>
    <xf numFmtId="173" fontId="0" fillId="0" borderId="1" xfId="0" applyNumberFormat="1" applyFill="1" applyBorder="1"/>
    <xf numFmtId="173" fontId="0" fillId="0" borderId="1" xfId="0" applyNumberFormat="1" applyBorder="1"/>
    <xf numFmtId="174" fontId="0" fillId="0" borderId="1" xfId="0" applyNumberFormat="1" applyBorder="1"/>
    <xf numFmtId="173" fontId="2" fillId="0" borderId="1" xfId="0" applyNumberFormat="1" applyFont="1" applyBorder="1"/>
    <xf numFmtId="174" fontId="0" fillId="0" borderId="1" xfId="0" applyNumberFormat="1" applyFill="1" applyBorder="1" applyProtection="1"/>
    <xf numFmtId="174" fontId="0" fillId="0" borderId="1" xfId="0" applyNumberFormat="1" applyBorder="1" applyProtection="1"/>
    <xf numFmtId="175" fontId="0" fillId="0" borderId="1" xfId="0" applyNumberFormat="1" applyBorder="1"/>
    <xf numFmtId="0" fontId="0" fillId="0" borderId="0" xfId="0" applyFont="1"/>
    <xf numFmtId="0" fontId="3" fillId="0" borderId="0" xfId="0" applyFont="1" applyAlignment="1">
      <alignment horizontal="left" wrapText="1"/>
    </xf>
  </cellXfs>
  <cellStyles count="5">
    <cellStyle name="Hyperlink" xfId="3" builtinId="8"/>
    <cellStyle name="Hyperlink 2" xfId="2"/>
    <cellStyle name="Normal" xfId="0" builtinId="0"/>
    <cellStyle name="Normal 2" xfId="4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</a:t>
            </a:r>
            <a:r>
              <a:rPr lang="en-US" baseline="0"/>
              <a:t> </a:t>
            </a:r>
            <a:r>
              <a:rPr lang="en-US"/>
              <a:t>Crush, 1989-2018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'tab3'!$G$4</c:f>
              <c:strCache>
                <c:ptCount val="1"/>
                <c:pt idx="0">
                  <c:v>Crush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'tab3'!$A$17:$A$45</c:f>
              <c:numCache>
                <c:formatCode>General</c:formatCod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</c:numCache>
            </c:numRef>
          </c:xVal>
          <c:yVal>
            <c:numRef>
              <c:f>'tab3'!$G$17:$G$45</c:f>
              <c:numCache>
                <c:formatCode>#,##0_______)</c:formatCode>
                <c:ptCount val="29"/>
                <c:pt idx="0">
                  <c:v>1146</c:v>
                </c:pt>
                <c:pt idx="1">
                  <c:v>1187</c:v>
                </c:pt>
                <c:pt idx="2">
                  <c:v>1254</c:v>
                </c:pt>
                <c:pt idx="3">
                  <c:v>1279</c:v>
                </c:pt>
                <c:pt idx="4">
                  <c:v>1276</c:v>
                </c:pt>
                <c:pt idx="5">
                  <c:v>1405</c:v>
                </c:pt>
                <c:pt idx="6">
                  <c:v>1370</c:v>
                </c:pt>
                <c:pt idx="7">
                  <c:v>1436</c:v>
                </c:pt>
                <c:pt idx="8">
                  <c:v>1597</c:v>
                </c:pt>
                <c:pt idx="9">
                  <c:v>1590</c:v>
                </c:pt>
                <c:pt idx="10">
                  <c:v>1578</c:v>
                </c:pt>
                <c:pt idx="11">
                  <c:v>1639.67</c:v>
                </c:pt>
                <c:pt idx="12">
                  <c:v>1699.7408</c:v>
                </c:pt>
                <c:pt idx="13">
                  <c:v>1614.7874333333334</c:v>
                </c:pt>
                <c:pt idx="14">
                  <c:v>1529.6987333333334</c:v>
                </c:pt>
                <c:pt idx="15">
                  <c:v>1696.0812333333333</c:v>
                </c:pt>
                <c:pt idx="16">
                  <c:v>1738.8517333333334</c:v>
                </c:pt>
                <c:pt idx="17">
                  <c:v>1807.7056423333333</c:v>
                </c:pt>
                <c:pt idx="18">
                  <c:v>1803.4073376666665</c:v>
                </c:pt>
                <c:pt idx="19">
                  <c:v>1661.9220666666665</c:v>
                </c:pt>
                <c:pt idx="20">
                  <c:v>1751.6862683333336</c:v>
                </c:pt>
                <c:pt idx="21">
                  <c:v>1648.0425946666669</c:v>
                </c:pt>
                <c:pt idx="22">
                  <c:v>1703.019</c:v>
                </c:pt>
                <c:pt idx="23">
                  <c:v>1688.903</c:v>
                </c:pt>
                <c:pt idx="24">
                  <c:v>1733.8879999999999</c:v>
                </c:pt>
                <c:pt idx="25">
                  <c:v>1873.4937851587886</c:v>
                </c:pt>
                <c:pt idx="26">
                  <c:v>1886.2368000000001</c:v>
                </c:pt>
                <c:pt idx="27">
                  <c:v>1901.1980666666666</c:v>
                </c:pt>
                <c:pt idx="2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1-484F-A435-2CF5818F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21391"/>
        <c:axId val="695526383"/>
      </c:scatterChart>
      <c:valAx>
        <c:axId val="695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6383"/>
        <c:crosses val="autoZero"/>
        <c:crossBetween val="midCat"/>
      </c:valAx>
      <c:valAx>
        <c:axId val="6955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_____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Crush as % of production, 1989--2018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'tab3'!$M$4</c:f>
              <c:strCache>
                <c:ptCount val="1"/>
                <c:pt idx="0">
                  <c:v>Crush as %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'tab3'!$A$17:$A$45</c:f>
              <c:numCache>
                <c:formatCode>General</c:formatCod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</c:numCache>
            </c:numRef>
          </c:xVal>
          <c:yVal>
            <c:numRef>
              <c:f>'tab3'!$M$17:$M$45</c:f>
              <c:numCache>
                <c:formatCode>General</c:formatCode>
                <c:ptCount val="29"/>
                <c:pt idx="0">
                  <c:v>59.573751368480806</c:v>
                </c:pt>
                <c:pt idx="1">
                  <c:v>61.632017911188633</c:v>
                </c:pt>
                <c:pt idx="2">
                  <c:v>63.124861882902884</c:v>
                </c:pt>
                <c:pt idx="3">
                  <c:v>58.392387714497296</c:v>
                </c:pt>
                <c:pt idx="4">
                  <c:v>68.245585697950176</c:v>
                </c:pt>
                <c:pt idx="5">
                  <c:v>55.867721141737405</c:v>
                </c:pt>
                <c:pt idx="6">
                  <c:v>63.010117493172366</c:v>
                </c:pt>
                <c:pt idx="7">
                  <c:v>60.329188992527747</c:v>
                </c:pt>
                <c:pt idx="8">
                  <c:v>59.395629939563001</c:v>
                </c:pt>
                <c:pt idx="9">
                  <c:v>58.007729986056255</c:v>
                </c:pt>
                <c:pt idx="10">
                  <c:v>59.46284476580005</c:v>
                </c:pt>
                <c:pt idx="11">
                  <c:v>59.455509987997722</c:v>
                </c:pt>
                <c:pt idx="12">
                  <c:v>58.800684405963722</c:v>
                </c:pt>
                <c:pt idx="13">
                  <c:v>58.588581571786023</c:v>
                </c:pt>
                <c:pt idx="14">
                  <c:v>62.338849166647989</c:v>
                </c:pt>
                <c:pt idx="15">
                  <c:v>54.29562273178842</c:v>
                </c:pt>
                <c:pt idx="16">
                  <c:v>56.670727491698557</c:v>
                </c:pt>
                <c:pt idx="17">
                  <c:v>56.548657668293536</c:v>
                </c:pt>
                <c:pt idx="18">
                  <c:v>67.363784909911161</c:v>
                </c:pt>
                <c:pt idx="19">
                  <c:v>56.013419134726227</c:v>
                </c:pt>
                <c:pt idx="20">
                  <c:v>52.119078562854568</c:v>
                </c:pt>
                <c:pt idx="21">
                  <c:v>49.471366324998876</c:v>
                </c:pt>
                <c:pt idx="22">
                  <c:v>54.986134156275753</c:v>
                </c:pt>
                <c:pt idx="23">
                  <c:v>55.518690722422157</c:v>
                </c:pt>
                <c:pt idx="24">
                  <c:v>51.634790398048345</c:v>
                </c:pt>
                <c:pt idx="25">
                  <c:v>47.706922559930852</c:v>
                </c:pt>
                <c:pt idx="26">
                  <c:v>48.040599652755404</c:v>
                </c:pt>
                <c:pt idx="27">
                  <c:v>44.254190131823862</c:v>
                </c:pt>
                <c:pt idx="28">
                  <c:v>44.631136183486795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7-4DD0-8683-104FB62A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21391"/>
        <c:axId val="695526383"/>
      </c:scatterChart>
      <c:valAx>
        <c:axId val="695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6383"/>
        <c:crosses val="autoZero"/>
        <c:crossBetween val="midCat"/>
      </c:valAx>
      <c:valAx>
        <c:axId val="6955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Exports, 1989-2018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7201985256232"/>
          <c:y val="0.15314673665791775"/>
          <c:w val="0.80786411394804492"/>
          <c:h val="0.74615377077865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'tab3'!$H$4</c:f>
              <c:strCache>
                <c:ptCount val="1"/>
                <c:pt idx="0">
                  <c:v>Exports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'tab3'!$A$17:$A$45</c:f>
              <c:numCache>
                <c:formatCode>General</c:formatCod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</c:numCache>
            </c:numRef>
          </c:xVal>
          <c:yVal>
            <c:numRef>
              <c:f>'tab3'!$H$17:$H$45</c:f>
              <c:numCache>
                <c:formatCode>#,##0_______)</c:formatCode>
                <c:ptCount val="29"/>
                <c:pt idx="0">
                  <c:v>622</c:v>
                </c:pt>
                <c:pt idx="1">
                  <c:v>557</c:v>
                </c:pt>
                <c:pt idx="2">
                  <c:v>684</c:v>
                </c:pt>
                <c:pt idx="3">
                  <c:v>771</c:v>
                </c:pt>
                <c:pt idx="4">
                  <c:v>588</c:v>
                </c:pt>
                <c:pt idx="5">
                  <c:v>840</c:v>
                </c:pt>
                <c:pt idx="6">
                  <c:v>849</c:v>
                </c:pt>
                <c:pt idx="7">
                  <c:v>886</c:v>
                </c:pt>
                <c:pt idx="8">
                  <c:v>874</c:v>
                </c:pt>
                <c:pt idx="9">
                  <c:v>805</c:v>
                </c:pt>
                <c:pt idx="10">
                  <c:v>973</c:v>
                </c:pt>
                <c:pt idx="11">
                  <c:v>995.87118845340001</c:v>
                </c:pt>
                <c:pt idx="12">
                  <c:v>1063.6514467383001</c:v>
                </c:pt>
                <c:pt idx="13">
                  <c:v>1044.3721008357002</c:v>
                </c:pt>
                <c:pt idx="14">
                  <c:v>886.55056059570006</c:v>
                </c:pt>
                <c:pt idx="15">
                  <c:v>1097.1562998144</c:v>
                </c:pt>
                <c:pt idx="16">
                  <c:v>939.87875005290005</c:v>
                </c:pt>
                <c:pt idx="17">
                  <c:v>1116.4958686412999</c:v>
                </c:pt>
                <c:pt idx="18">
                  <c:v>1158.8290570290001</c:v>
                </c:pt>
                <c:pt idx="19">
                  <c:v>1279.2935714286</c:v>
                </c:pt>
                <c:pt idx="20">
                  <c:v>1499.0481245103001</c:v>
                </c:pt>
                <c:pt idx="21">
                  <c:v>1504.9776390978</c:v>
                </c:pt>
                <c:pt idx="22">
                  <c:v>1365.2509814978098</c:v>
                </c:pt>
                <c:pt idx="23">
                  <c:v>1327.5260000000001</c:v>
                </c:pt>
                <c:pt idx="24">
                  <c:v>1638.5589397691786</c:v>
                </c:pt>
                <c:pt idx="25">
                  <c:v>1842.4226925928908</c:v>
                </c:pt>
                <c:pt idx="26">
                  <c:v>1942.256289243398</c:v>
                </c:pt>
                <c:pt idx="27">
                  <c:v>2173.6525417372668</c:v>
                </c:pt>
                <c:pt idx="28">
                  <c:v>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A-4899-8337-2B4A3AA36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21391"/>
        <c:axId val="695526383"/>
      </c:scatterChart>
      <c:valAx>
        <c:axId val="695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6383"/>
        <c:crosses val="autoZero"/>
        <c:crossBetween val="midCat"/>
      </c:valAx>
      <c:valAx>
        <c:axId val="6955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_____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Annual Exports as % of production, 1989-2018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'tab3'!$N$4</c:f>
              <c:strCache>
                <c:ptCount val="1"/>
                <c:pt idx="0">
                  <c:v>Exports as % of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'tab3'!$A$17:$A$45</c:f>
              <c:numCache>
                <c:formatCode>General</c:formatCode>
                <c:ptCount val="29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</c:numCache>
            </c:numRef>
          </c:xVal>
          <c:yVal>
            <c:numRef>
              <c:f>'tab3'!$N$17:$N$45</c:f>
              <c:numCache>
                <c:formatCode>General</c:formatCode>
                <c:ptCount val="29"/>
                <c:pt idx="0">
                  <c:v>32.334095419890978</c:v>
                </c:pt>
                <c:pt idx="1">
                  <c:v>28.920837385452458</c:v>
                </c:pt>
                <c:pt idx="2">
                  <c:v>34.431742845219752</c:v>
                </c:pt>
                <c:pt idx="3">
                  <c:v>35.199789623047231</c:v>
                </c:pt>
                <c:pt idx="4">
                  <c:v>31.448592782440986</c:v>
                </c:pt>
                <c:pt idx="5">
                  <c:v>33.401342177266486</c:v>
                </c:pt>
                <c:pt idx="6">
                  <c:v>39.047875731170322</c:v>
                </c:pt>
                <c:pt idx="7">
                  <c:v>37.222605464749023</c:v>
                </c:pt>
                <c:pt idx="8">
                  <c:v>32.505811250581125</c:v>
                </c:pt>
                <c:pt idx="9">
                  <c:v>29.368693483506469</c:v>
                </c:pt>
                <c:pt idx="10">
                  <c:v>36.664986031130198</c:v>
                </c:pt>
                <c:pt idx="11">
                  <c:v>36.110942684717223</c:v>
                </c:pt>
                <c:pt idx="12">
                  <c:v>36.795865015186735</c:v>
                </c:pt>
                <c:pt idx="13">
                  <c:v>37.89246730438181</c:v>
                </c:pt>
                <c:pt idx="14">
                  <c:v>36.12903669937181</c:v>
                </c:pt>
                <c:pt idx="15">
                  <c:v>35.122601065193244</c:v>
                </c:pt>
                <c:pt idx="16">
                  <c:v>30.631485996440421</c:v>
                </c:pt>
                <c:pt idx="17">
                  <c:v>34.926229793898507</c:v>
                </c:pt>
                <c:pt idx="18">
                  <c:v>43.286455430562057</c:v>
                </c:pt>
                <c:pt idx="19">
                  <c:v>43.117308837781643</c:v>
                </c:pt>
                <c:pt idx="20">
                  <c:v>44.60216899752777</c:v>
                </c:pt>
                <c:pt idx="21">
                  <c:v>45.176805706164487</c:v>
                </c:pt>
                <c:pt idx="22">
                  <c:v>44.080467467260036</c:v>
                </c:pt>
                <c:pt idx="23">
                  <c:v>43.639276749448733</c:v>
                </c:pt>
                <c:pt idx="24">
                  <c:v>48.795912659773798</c:v>
                </c:pt>
                <c:pt idx="25">
                  <c:v>46.91572366798038</c:v>
                </c:pt>
                <c:pt idx="26">
                  <c:v>49.467361051692123</c:v>
                </c:pt>
                <c:pt idx="27">
                  <c:v>50.596113339846241</c:v>
                </c:pt>
                <c:pt idx="28">
                  <c:v>47.022089907602165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F-4C6C-A22B-4F7868E7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21391"/>
        <c:axId val="695526383"/>
      </c:scatterChart>
      <c:valAx>
        <c:axId val="69552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6383"/>
        <c:crosses val="autoZero"/>
        <c:crossBetween val="midCat"/>
      </c:valAx>
      <c:valAx>
        <c:axId val="6955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552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152400</xdr:rowOff>
    </xdr:from>
    <xdr:to>
      <xdr:col>0</xdr:col>
      <xdr:colOff>4448175</xdr:colOff>
      <xdr:row>0</xdr:row>
      <xdr:rowOff>657225</xdr:rowOff>
    </xdr:to>
    <xdr:pic>
      <xdr:nvPicPr>
        <xdr:cNvPr id="44" name="Picture 2098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45" name="Picture 2099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46" name="Picture 2100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47" name="Picture 2101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48" name="Picture 2102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49" name="Picture 2103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561975</xdr:rowOff>
    </xdr:to>
    <xdr:pic>
      <xdr:nvPicPr>
        <xdr:cNvPr id="50" name="Picture 2104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0</xdr:row>
      <xdr:rowOff>771525</xdr:rowOff>
    </xdr:to>
    <xdr:pic>
      <xdr:nvPicPr>
        <xdr:cNvPr id="51" name="Picture 2105" descr="Prin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390526</xdr:colOff>
      <xdr:row>5</xdr:row>
      <xdr:rowOff>66674</xdr:rowOff>
    </xdr:from>
    <xdr:to>
      <xdr:col>26</xdr:col>
      <xdr:colOff>400050</xdr:colOff>
      <xdr:row>30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27</xdr:col>
      <xdr:colOff>66674</xdr:colOff>
      <xdr:row>58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38</xdr:col>
      <xdr:colOff>9524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142874</xdr:colOff>
      <xdr:row>34</xdr:row>
      <xdr:rowOff>76201</xdr:rowOff>
    </xdr:from>
    <xdr:to>
      <xdr:col>38</xdr:col>
      <xdr:colOff>209548</xdr:colOff>
      <xdr:row>59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ewadeh\Documents\Temp\yearbook%20tables\oilyrbook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01"/>
      <sheetName val="tab02"/>
      <sheetName val="tab3"/>
      <sheetName val="tab4"/>
      <sheetName val="tab5"/>
      <sheetName val="tab6"/>
      <sheetName val="tab7"/>
      <sheetName val="tab8"/>
      <sheetName val="tab 9"/>
      <sheetName val="tab 10"/>
      <sheetName val="tab 11"/>
      <sheetName val="tab 12"/>
      <sheetName val="tab 13"/>
      <sheetName val="tab 14"/>
      <sheetName val="tab 15"/>
      <sheetName val="tab 16"/>
      <sheetName val="tab 17"/>
      <sheetName val="tab 18"/>
      <sheetName val="tab 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(1)"/>
      <sheetName val="tab33(2)"/>
      <sheetName val="tab33(3)"/>
      <sheetName val="tab33(4)"/>
      <sheetName val="tab33(5)"/>
      <sheetName val="tab33(6)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</sheetNames>
    <sheetDataSet>
      <sheetData sheetId="0"/>
      <sheetData sheetId="1">
        <row r="8">
          <cell r="D8">
            <v>290162</v>
          </cell>
        </row>
        <row r="10">
          <cell r="D10">
            <v>2239991</v>
          </cell>
        </row>
        <row r="11">
          <cell r="D11">
            <v>1403908</v>
          </cell>
        </row>
        <row r="12">
          <cell r="D12">
            <v>708180</v>
          </cell>
        </row>
        <row r="13">
          <cell r="D13">
            <v>247747</v>
          </cell>
        </row>
        <row r="15">
          <cell r="D15">
            <v>2275618</v>
          </cell>
        </row>
        <row r="16">
          <cell r="D16">
            <v>1335987</v>
          </cell>
        </row>
        <row r="17">
          <cell r="D17">
            <v>684921</v>
          </cell>
        </row>
        <row r="18">
          <cell r="D18">
            <v>208061</v>
          </cell>
        </row>
        <row r="20">
          <cell r="D20">
            <v>2115373</v>
          </cell>
        </row>
        <row r="21">
          <cell r="D21">
            <v>1202028</v>
          </cell>
        </row>
        <row r="22">
          <cell r="D22">
            <v>602362</v>
          </cell>
        </row>
        <row r="23">
          <cell r="D23">
            <v>178329</v>
          </cell>
        </row>
        <row r="25">
          <cell r="D25">
            <v>1688653</v>
          </cell>
        </row>
        <row r="26">
          <cell r="D26">
            <v>905847</v>
          </cell>
        </row>
        <row r="27">
          <cell r="D27">
            <v>410604</v>
          </cell>
        </row>
        <row r="28">
          <cell r="D28">
            <v>112414</v>
          </cell>
        </row>
        <row r="30">
          <cell r="D30">
            <v>2304640</v>
          </cell>
        </row>
        <row r="31">
          <cell r="D31">
            <v>1381364</v>
          </cell>
        </row>
        <row r="32">
          <cell r="D32">
            <v>699274</v>
          </cell>
        </row>
        <row r="33">
          <cell r="D33">
            <v>255738</v>
          </cell>
        </row>
        <row r="35">
          <cell r="D35">
            <v>2501426</v>
          </cell>
        </row>
        <row r="36">
          <cell r="D36">
            <v>1669206</v>
          </cell>
        </row>
        <row r="37">
          <cell r="D37">
            <v>990699</v>
          </cell>
        </row>
        <row r="38">
          <cell r="D38">
            <v>449326</v>
          </cell>
        </row>
        <row r="40">
          <cell r="D40">
            <v>2701366</v>
          </cell>
        </row>
        <row r="41">
          <cell r="D41">
            <v>1786887</v>
          </cell>
        </row>
        <row r="42">
          <cell r="D42">
            <v>1092185</v>
          </cell>
        </row>
        <row r="43">
          <cell r="D43">
            <v>573810</v>
          </cell>
        </row>
        <row r="45">
          <cell r="D45">
            <v>2360360</v>
          </cell>
        </row>
        <row r="46">
          <cell r="D46">
            <v>1433982</v>
          </cell>
        </row>
        <row r="47">
          <cell r="D47">
            <v>676143</v>
          </cell>
        </row>
        <row r="48">
          <cell r="D48">
            <v>205034</v>
          </cell>
        </row>
        <row r="50">
          <cell r="D50">
            <v>2275432</v>
          </cell>
        </row>
        <row r="51">
          <cell r="D51">
            <v>1301789</v>
          </cell>
        </row>
        <row r="52">
          <cell r="D52">
            <v>596159</v>
          </cell>
        </row>
        <row r="53">
          <cell r="D53">
            <v>138198</v>
          </cell>
        </row>
        <row r="55">
          <cell r="D55">
            <v>2338550</v>
          </cell>
        </row>
        <row r="56">
          <cell r="D56">
            <v>1270068</v>
          </cell>
        </row>
        <row r="57">
          <cell r="D57">
            <v>571123</v>
          </cell>
        </row>
        <row r="58">
          <cell r="D58">
            <v>150885</v>
          </cell>
        </row>
        <row r="60">
          <cell r="D60">
            <v>2278084</v>
          </cell>
        </row>
        <row r="61">
          <cell r="D61">
            <v>1248800</v>
          </cell>
        </row>
        <row r="62">
          <cell r="D62">
            <v>619283</v>
          </cell>
        </row>
        <row r="63">
          <cell r="D63">
            <v>215013</v>
          </cell>
        </row>
        <row r="65">
          <cell r="D65">
            <v>2369885</v>
          </cell>
        </row>
        <row r="66">
          <cell r="D66">
            <v>1374488</v>
          </cell>
        </row>
        <row r="67">
          <cell r="D67">
            <v>667465</v>
          </cell>
        </row>
        <row r="68">
          <cell r="D68">
            <v>169370</v>
          </cell>
        </row>
        <row r="70">
          <cell r="D70">
            <v>1966161</v>
          </cell>
        </row>
        <row r="71">
          <cell r="D71">
            <v>998020</v>
          </cell>
        </row>
        <row r="72">
          <cell r="D72">
            <v>434664</v>
          </cell>
        </row>
        <row r="73">
          <cell r="D73">
            <v>140557</v>
          </cell>
        </row>
        <row r="75">
          <cell r="D75">
            <v>2153621</v>
          </cell>
        </row>
        <row r="76">
          <cell r="D76">
            <v>993828</v>
          </cell>
        </row>
        <row r="77">
          <cell r="D77">
            <v>405045</v>
          </cell>
        </row>
        <row r="78">
          <cell r="D78">
            <v>91991</v>
          </cell>
        </row>
        <row r="80">
          <cell r="D80">
            <v>2527744</v>
          </cell>
        </row>
        <row r="81">
          <cell r="D81">
            <v>1326599</v>
          </cell>
        </row>
        <row r="82">
          <cell r="D82">
            <v>627068</v>
          </cell>
        </row>
        <row r="83">
          <cell r="D83">
            <v>190610</v>
          </cell>
        </row>
        <row r="85">
          <cell r="D85">
            <v>2714077</v>
          </cell>
        </row>
        <row r="86">
          <cell r="D86">
            <v>1530906</v>
          </cell>
        </row>
        <row r="87">
          <cell r="D87">
            <v>871781</v>
          </cell>
        </row>
        <row r="88">
          <cell r="D88">
            <v>196729</v>
          </cell>
        </row>
        <row r="90">
          <cell r="D90">
            <v>2899056</v>
          </cell>
        </row>
        <row r="91">
          <cell r="D91">
            <v>1738933</v>
          </cell>
        </row>
        <row r="92">
          <cell r="D92">
            <v>965856</v>
          </cell>
        </row>
        <row r="93">
          <cell r="D93">
            <v>301595</v>
          </cell>
        </row>
        <row r="95">
          <cell r="D95">
            <v>3157020</v>
          </cell>
        </row>
      </sheetData>
      <sheetData sheetId="2">
        <row r="26">
          <cell r="E26">
            <v>1797543</v>
          </cell>
        </row>
        <row r="27">
          <cell r="E27">
            <v>1989110</v>
          </cell>
        </row>
        <row r="28">
          <cell r="E28">
            <v>2190297</v>
          </cell>
        </row>
        <row r="29">
          <cell r="E29">
            <v>1635772</v>
          </cell>
        </row>
        <row r="30">
          <cell r="E30">
            <v>1860863</v>
          </cell>
        </row>
        <row r="31">
          <cell r="E31">
            <v>2099056</v>
          </cell>
        </row>
        <row r="32">
          <cell r="E32">
            <v>1942558</v>
          </cell>
        </row>
        <row r="33">
          <cell r="E33">
            <v>1937722</v>
          </cell>
        </row>
        <row r="34">
          <cell r="E34">
            <v>1548841</v>
          </cell>
        </row>
        <row r="35">
          <cell r="E35">
            <v>1923666</v>
          </cell>
        </row>
        <row r="36">
          <cell r="E36">
            <v>1925947</v>
          </cell>
        </row>
        <row r="37">
          <cell r="E37">
            <v>1986539</v>
          </cell>
        </row>
        <row r="38">
          <cell r="E38">
            <v>2190354</v>
          </cell>
        </row>
        <row r="39">
          <cell r="E39">
            <v>1869718</v>
          </cell>
        </row>
        <row r="40">
          <cell r="E40">
            <v>2514869</v>
          </cell>
        </row>
        <row r="41">
          <cell r="E41">
            <v>2174254</v>
          </cell>
        </row>
        <row r="42">
          <cell r="E42">
            <v>2380274</v>
          </cell>
        </row>
        <row r="43">
          <cell r="E43">
            <v>2688750</v>
          </cell>
        </row>
        <row r="44">
          <cell r="E44">
            <v>2741014</v>
          </cell>
        </row>
        <row r="45">
          <cell r="E45">
            <v>2653758</v>
          </cell>
        </row>
        <row r="46">
          <cell r="E46">
            <v>2757810</v>
          </cell>
        </row>
        <row r="47">
          <cell r="E47">
            <v>2890682</v>
          </cell>
        </row>
        <row r="48">
          <cell r="E48">
            <v>2756147</v>
          </cell>
        </row>
        <row r="49">
          <cell r="E49">
            <v>2453845</v>
          </cell>
        </row>
        <row r="50">
          <cell r="E50">
            <v>3123790</v>
          </cell>
        </row>
        <row r="51">
          <cell r="E51">
            <v>3068342</v>
          </cell>
        </row>
        <row r="52">
          <cell r="E52">
            <v>3196726</v>
          </cell>
        </row>
        <row r="53">
          <cell r="E53">
            <v>2677117</v>
          </cell>
        </row>
        <row r="54">
          <cell r="E54">
            <v>2967007</v>
          </cell>
        </row>
        <row r="55">
          <cell r="E55">
            <v>3360931</v>
          </cell>
        </row>
        <row r="56">
          <cell r="E56">
            <v>3331306</v>
          </cell>
        </row>
        <row r="57">
          <cell r="E57">
            <v>3097179</v>
          </cell>
        </row>
        <row r="58">
          <cell r="E58">
            <v>3042044</v>
          </cell>
        </row>
        <row r="59">
          <cell r="E59">
            <v>3357984</v>
          </cell>
        </row>
        <row r="60">
          <cell r="E60">
            <v>3927090</v>
          </cell>
        </row>
        <row r="61">
          <cell r="E61">
            <v>3926339</v>
          </cell>
        </row>
        <row r="62">
          <cell r="E62">
            <v>4296086</v>
          </cell>
        </row>
        <row r="63">
          <cell r="E63">
            <v>4391553</v>
          </cell>
        </row>
      </sheetData>
      <sheetData sheetId="3"/>
      <sheetData sheetId="4"/>
      <sheetData sheetId="5"/>
      <sheetData sheetId="6">
        <row r="12">
          <cell r="F12">
            <v>1639670</v>
          </cell>
          <cell r="G12">
            <v>995871.18845340004</v>
          </cell>
        </row>
        <row r="19">
          <cell r="F19">
            <v>1699740.8</v>
          </cell>
          <cell r="G19">
            <v>1063651.4467383001</v>
          </cell>
        </row>
        <row r="26">
          <cell r="F26">
            <v>1614787.4333333333</v>
          </cell>
          <cell r="G26">
            <v>1044372.1008357001</v>
          </cell>
        </row>
        <row r="33">
          <cell r="F33">
            <v>1529698.7333333334</v>
          </cell>
          <cell r="G33">
            <v>886550.56059570005</v>
          </cell>
        </row>
        <row r="40">
          <cell r="F40">
            <v>1696081.2333333334</v>
          </cell>
          <cell r="G40">
            <v>1097156.2998144</v>
          </cell>
        </row>
        <row r="47">
          <cell r="F47">
            <v>1738851.7333333334</v>
          </cell>
          <cell r="G47">
            <v>939878.75005290005</v>
          </cell>
        </row>
        <row r="54">
          <cell r="F54">
            <v>1807705.6423333334</v>
          </cell>
          <cell r="G54">
            <v>1116495.8686412999</v>
          </cell>
        </row>
        <row r="61">
          <cell r="F61">
            <v>1803407.3376666666</v>
          </cell>
          <cell r="G61">
            <v>1158829.057029</v>
          </cell>
        </row>
        <row r="68">
          <cell r="F68">
            <v>1661922.0666666664</v>
          </cell>
          <cell r="G68">
            <v>1279293.5714286</v>
          </cell>
        </row>
        <row r="75">
          <cell r="F75">
            <v>1751686.2683333335</v>
          </cell>
          <cell r="G75">
            <v>1499048.1245103001</v>
          </cell>
        </row>
        <row r="82">
          <cell r="F82">
            <v>1648042.5946666668</v>
          </cell>
          <cell r="G82">
            <v>1504977.6390978</v>
          </cell>
        </row>
        <row r="89">
          <cell r="F89">
            <v>1703019</v>
          </cell>
          <cell r="G89">
            <v>1365250.9814978098</v>
          </cell>
        </row>
        <row r="96">
          <cell r="F96">
            <v>1688903</v>
          </cell>
          <cell r="G96">
            <v>1327526</v>
          </cell>
        </row>
        <row r="103">
          <cell r="F103">
            <v>1733888</v>
          </cell>
          <cell r="G103">
            <v>1638558.9397691786</v>
          </cell>
        </row>
        <row r="110">
          <cell r="F110">
            <v>1873493.7851587886</v>
          </cell>
          <cell r="G110">
            <v>1842422.6925928909</v>
          </cell>
        </row>
        <row r="129">
          <cell r="F129">
            <v>1886236.8</v>
          </cell>
          <cell r="G129">
            <v>1942256.289243398</v>
          </cell>
        </row>
        <row r="148">
          <cell r="F148">
            <v>1901198.0666666667</v>
          </cell>
          <cell r="G148">
            <v>2173652.5417372668</v>
          </cell>
        </row>
      </sheetData>
      <sheetData sheetId="7">
        <row r="19">
          <cell r="J19">
            <v>293.84400000000005</v>
          </cell>
        </row>
        <row r="20">
          <cell r="C20">
            <v>42284.076460000004</v>
          </cell>
          <cell r="D20">
            <v>140.62193001265501</v>
          </cell>
          <cell r="H20">
            <v>9241.9678522266495</v>
          </cell>
        </row>
        <row r="33">
          <cell r="J33">
            <v>234.73099999999999</v>
          </cell>
        </row>
        <row r="34">
          <cell r="H34">
            <v>8497.0671593529969</v>
          </cell>
        </row>
        <row r="47">
          <cell r="J47">
            <v>301.55399999999997</v>
          </cell>
        </row>
        <row r="48">
          <cell r="H48">
            <v>11159.468199331988</v>
          </cell>
        </row>
        <row r="61">
          <cell r="J61">
            <v>350</v>
          </cell>
        </row>
        <row r="75">
          <cell r="J75">
            <v>263.88600000000002</v>
          </cell>
        </row>
        <row r="76">
          <cell r="C76">
            <v>44671.661999999989</v>
          </cell>
          <cell r="D76">
            <v>403.42275683539208</v>
          </cell>
          <cell r="H76">
            <v>11953.849648284682</v>
          </cell>
        </row>
        <row r="89">
          <cell r="J89">
            <v>400.63</v>
          </cell>
        </row>
        <row r="90">
          <cell r="C90">
            <v>44787.017</v>
          </cell>
          <cell r="D90">
            <v>349.49540109002407</v>
          </cell>
          <cell r="H90">
            <v>11600.912875242791</v>
          </cell>
        </row>
      </sheetData>
      <sheetData sheetId="8">
        <row r="19">
          <cell r="K19">
            <v>2484597</v>
          </cell>
        </row>
        <row r="20">
          <cell r="C20">
            <v>20579830.779999997</v>
          </cell>
          <cell r="D20">
            <v>65355.102067248001</v>
          </cell>
          <cell r="I20">
            <v>2911048.456462902</v>
          </cell>
        </row>
        <row r="33">
          <cell r="K33">
            <v>2860500</v>
          </cell>
        </row>
        <row r="34">
          <cell r="C34">
            <v>18744967.84</v>
          </cell>
          <cell r="D34">
            <v>89577.464760251984</v>
          </cell>
          <cell r="I34">
            <v>2193438.4199738642</v>
          </cell>
        </row>
        <row r="47">
          <cell r="K47">
            <v>3405780</v>
          </cell>
        </row>
        <row r="48">
          <cell r="C48">
            <v>19615313.52</v>
          </cell>
          <cell r="D48">
            <v>102579.60440485799</v>
          </cell>
          <cell r="I48">
            <v>3358666.970703702</v>
          </cell>
        </row>
        <row r="62">
          <cell r="C62">
            <v>18887582.520000003</v>
          </cell>
          <cell r="D62">
            <v>159001.29152724601</v>
          </cell>
          <cell r="I62">
            <v>3232934.3973947582</v>
          </cell>
        </row>
        <row r="75">
          <cell r="K75">
            <v>1686813</v>
          </cell>
        </row>
        <row r="76">
          <cell r="C76">
            <v>21950231</v>
          </cell>
          <cell r="D76">
            <v>286553.15418454207</v>
          </cell>
          <cell r="H76">
            <v>5670210</v>
          </cell>
          <cell r="I76">
            <v>2242541.231640738</v>
          </cell>
        </row>
        <row r="89">
          <cell r="K89">
            <v>1710954</v>
          </cell>
        </row>
        <row r="90">
          <cell r="C90">
            <v>22123409</v>
          </cell>
          <cell r="D90">
            <v>318704.38698961801</v>
          </cell>
          <cell r="H90">
            <v>6200300</v>
          </cell>
          <cell r="I90">
            <v>2556308.7402424742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oil-crops-yearbook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29"/>
  <sheetViews>
    <sheetView workbookViewId="0">
      <selection activeCell="A9" sqref="A9"/>
    </sheetView>
  </sheetViews>
  <sheetFormatPr defaultColWidth="11.33203125" defaultRowHeight="12.75" x14ac:dyDescent="0.2"/>
  <cols>
    <col min="1" max="1" width="133.6640625" style="12" customWidth="1"/>
    <col min="2" max="16384" width="11.33203125" style="2"/>
  </cols>
  <sheetData>
    <row r="1" spans="1:6" ht="68.25" customHeight="1" x14ac:dyDescent="0.2">
      <c r="A1" s="1"/>
    </row>
    <row r="2" spans="1:6" ht="18" customHeight="1" x14ac:dyDescent="0.2">
      <c r="A2" s="134" t="s">
        <v>243</v>
      </c>
    </row>
    <row r="3" spans="1:6" s="4" customFormat="1" ht="38.25" customHeight="1" x14ac:dyDescent="0.2">
      <c r="A3" s="134"/>
      <c r="B3" s="2"/>
    </row>
    <row r="4" spans="1:6" x14ac:dyDescent="0.2">
      <c r="A4" s="5" t="s">
        <v>0</v>
      </c>
      <c r="C4" s="6"/>
    </row>
    <row r="5" spans="1:6" s="4" customFormat="1" x14ac:dyDescent="0.2">
      <c r="A5" s="3"/>
      <c r="B5" s="2"/>
    </row>
    <row r="6" spans="1:6" ht="12.75" customHeight="1" x14ac:dyDescent="0.2">
      <c r="A6" s="5" t="s">
        <v>3</v>
      </c>
    </row>
    <row r="7" spans="1:6" x14ac:dyDescent="0.2">
      <c r="A7" s="9" t="s">
        <v>4</v>
      </c>
      <c r="B7" s="10"/>
      <c r="F7" s="11"/>
    </row>
    <row r="8" spans="1:6" x14ac:dyDescent="0.2">
      <c r="B8" s="10"/>
    </row>
    <row r="9" spans="1:6" x14ac:dyDescent="0.2">
      <c r="A9" s="5" t="s">
        <v>5</v>
      </c>
      <c r="B9" s="10"/>
    </row>
    <row r="10" spans="1:6" x14ac:dyDescent="0.2">
      <c r="A10" s="13" t="s">
        <v>6</v>
      </c>
      <c r="B10" s="10"/>
      <c r="F10" s="11"/>
    </row>
    <row r="11" spans="1:6" x14ac:dyDescent="0.2">
      <c r="A11" s="13" t="s">
        <v>7</v>
      </c>
      <c r="B11" s="10"/>
      <c r="F11" s="11"/>
    </row>
    <row r="12" spans="1:6" x14ac:dyDescent="0.2">
      <c r="A12" s="13" t="s">
        <v>8</v>
      </c>
      <c r="B12" s="10"/>
      <c r="F12" s="11"/>
    </row>
    <row r="13" spans="1:6" x14ac:dyDescent="0.2">
      <c r="A13" s="13" t="s">
        <v>9</v>
      </c>
      <c r="B13" s="10"/>
      <c r="F13" s="11"/>
    </row>
    <row r="14" spans="1:6" x14ac:dyDescent="0.2">
      <c r="A14" s="6"/>
      <c r="B14" s="10"/>
    </row>
    <row r="15" spans="1:6" x14ac:dyDescent="0.2">
      <c r="A15" s="5" t="s">
        <v>10</v>
      </c>
      <c r="B15" s="10"/>
    </row>
    <row r="16" spans="1:6" x14ac:dyDescent="0.2">
      <c r="A16" s="13" t="s">
        <v>11</v>
      </c>
      <c r="B16" s="10"/>
      <c r="F16" s="11"/>
    </row>
    <row r="17" spans="1:6" x14ac:dyDescent="0.2">
      <c r="A17" s="13" t="s">
        <v>12</v>
      </c>
      <c r="B17" s="10"/>
      <c r="F17" s="11"/>
    </row>
    <row r="18" spans="1:6" x14ac:dyDescent="0.2">
      <c r="A18" s="9" t="s">
        <v>13</v>
      </c>
      <c r="B18" s="10"/>
      <c r="F18" s="11"/>
    </row>
    <row r="19" spans="1:6" x14ac:dyDescent="0.2">
      <c r="A19" s="6"/>
      <c r="B19" s="10"/>
    </row>
    <row r="20" spans="1:6" x14ac:dyDescent="0.2">
      <c r="A20" s="5" t="s">
        <v>14</v>
      </c>
      <c r="B20" s="10"/>
    </row>
    <row r="21" spans="1:6" x14ac:dyDescent="0.2">
      <c r="A21" s="9" t="s">
        <v>15</v>
      </c>
      <c r="B21" s="10"/>
      <c r="F21" s="11"/>
    </row>
    <row r="22" spans="1:6" x14ac:dyDescent="0.2">
      <c r="A22" s="2"/>
      <c r="B22" s="10"/>
    </row>
    <row r="23" spans="1:6" x14ac:dyDescent="0.2">
      <c r="A23" s="7"/>
      <c r="B23" s="10"/>
    </row>
    <row r="24" spans="1:6" x14ac:dyDescent="0.2">
      <c r="A24" s="14" t="s">
        <v>16</v>
      </c>
      <c r="B24" s="10"/>
    </row>
    <row r="25" spans="1:6" x14ac:dyDescent="0.2">
      <c r="A25" s="14" t="s">
        <v>17</v>
      </c>
    </row>
    <row r="28" spans="1:6" x14ac:dyDescent="0.2">
      <c r="A28" s="7" t="s">
        <v>1</v>
      </c>
    </row>
    <row r="29" spans="1:6" x14ac:dyDescent="0.2">
      <c r="A29" s="8" t="s">
        <v>2</v>
      </c>
    </row>
  </sheetData>
  <mergeCells count="1">
    <mergeCell ref="A2:A3"/>
  </mergeCells>
  <hyperlinks>
    <hyperlink ref="A29" r:id="rId1"/>
    <hyperlink ref="A7" location="tab01!A1" display="Table 1--Soybean stocks:  On-farm, off-farm, and total U.S., by quarter, 1999/00-2016/17"/>
    <hyperlink ref="A10" location="tab02!A1" display="Table 2--Soybeans:  Acreage planted, harvested, yield, production, value, and loan rate, U.S., 1960-2016"/>
    <hyperlink ref="A11" location="tab3!A1" display="Table 3--Soybeans:  Supply, disappearance, and price, U.S., 1980/81-2016/17"/>
    <hyperlink ref="A12" location="tab4!A1" display="Table 4--Soybean meal:  Supply, disappearance, and price, U.S., 1980/81-2016/17"/>
    <hyperlink ref="A13" location="tab5!A1" display="Table 5--Soybean oil:  Supply, disappearance, and price, U.S., 1980/81-2016/17"/>
    <hyperlink ref="A16" location="tab6!A1" display="Table 6--Soybeans: U.S. supply and disappearance, by crop year quarter, 2000/01-2015/16"/>
    <hyperlink ref="A17" location="tab7!A1" display="Table 7--Soybean meal:  Supply and disappearance, by month, U.S., 2007/08-2015/16"/>
    <hyperlink ref="A18" location="tab8!A1" display="Table 8--Soybean oil:  Supply and disappearance, by month, U.S., 2007/08-2015/16"/>
    <hyperlink ref="A21" location="'tab 9'!A1" display="Table 9--Soybeans: Monthly value of products per bushel of soybeans processed, and spot price spread, U.S., 1990/91-2015/16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28"/>
  <sheetViews>
    <sheetView zoomScaleNormal="100" zoomScaleSheetLayoutView="100" workbookViewId="0">
      <pane xSplit="1" ySplit="7" topLeftCell="B95" activePane="bottomRight" state="frozen"/>
      <selection pane="topRight" activeCell="B1" sqref="B1"/>
      <selection pane="bottomLeft" activeCell="A8" sqref="A8"/>
      <selection pane="bottomRight"/>
    </sheetView>
  </sheetViews>
  <sheetFormatPr defaultRowHeight="11.25" x14ac:dyDescent="0.2"/>
  <cols>
    <col min="1" max="1" width="13" customWidth="1"/>
    <col min="2" max="2" width="8.33203125" customWidth="1"/>
    <col min="4" max="5" width="8.33203125" customWidth="1"/>
    <col min="7" max="7" width="8.33203125" customWidth="1"/>
    <col min="13" max="13" width="9.6640625" customWidth="1"/>
    <col min="15" max="15" width="15.6640625" customWidth="1"/>
  </cols>
  <sheetData>
    <row r="1" spans="1:16" x14ac:dyDescent="0.2">
      <c r="A1" s="15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6" x14ac:dyDescent="0.2">
      <c r="N2" s="17"/>
      <c r="O2" s="107" t="s">
        <v>109</v>
      </c>
      <c r="P2" s="37"/>
    </row>
    <row r="3" spans="1:16" x14ac:dyDescent="0.2">
      <c r="A3" t="s">
        <v>48</v>
      </c>
      <c r="N3" s="33" t="s">
        <v>200</v>
      </c>
      <c r="O3" s="33" t="s">
        <v>201</v>
      </c>
      <c r="P3" s="33"/>
    </row>
    <row r="4" spans="1:16" x14ac:dyDescent="0.2">
      <c r="A4" t="s">
        <v>110</v>
      </c>
      <c r="C4" s="34"/>
      <c r="D4" s="75"/>
      <c r="F4" s="34" t="s">
        <v>202</v>
      </c>
      <c r="G4" s="34"/>
      <c r="H4" s="34"/>
      <c r="I4" s="34"/>
      <c r="J4" s="34"/>
      <c r="K4" s="33" t="s">
        <v>21</v>
      </c>
      <c r="L4" s="82" t="s">
        <v>203</v>
      </c>
      <c r="M4" s="34"/>
      <c r="N4" s="33" t="s">
        <v>204</v>
      </c>
      <c r="O4" s="33" t="s">
        <v>205</v>
      </c>
      <c r="P4" s="33"/>
    </row>
    <row r="5" spans="1:16" x14ac:dyDescent="0.2">
      <c r="A5" t="s">
        <v>115</v>
      </c>
      <c r="B5" s="17"/>
      <c r="C5" s="18" t="s">
        <v>206</v>
      </c>
      <c r="D5" s="18"/>
      <c r="E5" s="17"/>
      <c r="F5" s="18" t="s">
        <v>207</v>
      </c>
      <c r="G5" s="18"/>
      <c r="H5" s="17"/>
      <c r="I5" s="19" t="s">
        <v>208</v>
      </c>
      <c r="J5" s="19"/>
      <c r="K5" s="33" t="s">
        <v>209</v>
      </c>
      <c r="L5" s="33" t="s">
        <v>210</v>
      </c>
      <c r="M5" s="33" t="s">
        <v>210</v>
      </c>
      <c r="N5" s="33" t="s">
        <v>211</v>
      </c>
      <c r="O5" s="33" t="s">
        <v>212</v>
      </c>
      <c r="P5" s="33"/>
    </row>
    <row r="6" spans="1:16" x14ac:dyDescent="0.2">
      <c r="A6" s="16"/>
      <c r="B6" s="34" t="s">
        <v>51</v>
      </c>
      <c r="C6" s="34" t="s">
        <v>213</v>
      </c>
      <c r="D6" s="34" t="s">
        <v>53</v>
      </c>
      <c r="E6" s="34" t="s">
        <v>51</v>
      </c>
      <c r="F6" s="34" t="s">
        <v>214</v>
      </c>
      <c r="G6" s="34" t="s">
        <v>53</v>
      </c>
      <c r="H6" s="34" t="s">
        <v>51</v>
      </c>
      <c r="I6" s="34" t="s">
        <v>215</v>
      </c>
      <c r="J6" s="82" t="s">
        <v>53</v>
      </c>
      <c r="K6" s="16"/>
      <c r="L6" s="34" t="s">
        <v>216</v>
      </c>
      <c r="M6" s="34" t="s">
        <v>217</v>
      </c>
      <c r="N6" s="34" t="s">
        <v>218</v>
      </c>
      <c r="O6" s="37" t="s">
        <v>219</v>
      </c>
      <c r="P6" s="37"/>
    </row>
    <row r="7" spans="1:16" ht="12" customHeight="1" x14ac:dyDescent="0.2">
      <c r="B7" s="33" t="s">
        <v>220</v>
      </c>
      <c r="C7" s="33" t="s">
        <v>221</v>
      </c>
      <c r="D7" s="33" t="s">
        <v>222</v>
      </c>
      <c r="E7" s="33" t="s">
        <v>220</v>
      </c>
      <c r="F7" s="108" t="s">
        <v>223</v>
      </c>
      <c r="G7" s="54"/>
      <c r="H7" s="33" t="s">
        <v>220</v>
      </c>
      <c r="I7" s="33" t="s">
        <v>140</v>
      </c>
      <c r="J7" s="33" t="s">
        <v>222</v>
      </c>
      <c r="K7" s="54" t="s">
        <v>224</v>
      </c>
      <c r="L7" s="108" t="s">
        <v>225</v>
      </c>
      <c r="M7" s="54"/>
      <c r="N7" s="109" t="s">
        <v>226</v>
      </c>
      <c r="O7" s="55"/>
      <c r="P7" s="55"/>
    </row>
    <row r="8" spans="1:16" ht="12" customHeight="1" x14ac:dyDescent="0.2">
      <c r="B8" s="33"/>
      <c r="C8" s="33"/>
      <c r="D8" s="33"/>
      <c r="E8" s="33"/>
      <c r="F8" s="55"/>
      <c r="G8" s="55"/>
      <c r="H8" s="33"/>
      <c r="I8" s="33"/>
      <c r="J8" s="33"/>
      <c r="K8" s="55"/>
      <c r="L8" s="55"/>
      <c r="M8" s="55"/>
      <c r="N8" s="55"/>
      <c r="O8" s="55"/>
    </row>
    <row r="9" spans="1:16" x14ac:dyDescent="0.2">
      <c r="A9" t="s">
        <v>227</v>
      </c>
      <c r="B9" s="110">
        <v>11.226666666666665</v>
      </c>
      <c r="C9" s="110">
        <v>21.31</v>
      </c>
      <c r="D9" s="111">
        <f t="shared" ref="D9:D22" si="0">(B9*C9)/100</f>
        <v>2.392402666666666</v>
      </c>
      <c r="E9" s="110">
        <v>47.472499999999997</v>
      </c>
      <c r="F9" s="110">
        <v>168.49</v>
      </c>
      <c r="G9" s="112">
        <f t="shared" ref="G9:G19" si="1">E9*F9/2000</f>
        <v>3.9993207625</v>
      </c>
      <c r="H9" s="113" t="s">
        <v>150</v>
      </c>
      <c r="I9" s="113" t="s">
        <v>150</v>
      </c>
      <c r="J9" s="113" t="s">
        <v>150</v>
      </c>
      <c r="K9" s="110">
        <f t="shared" ref="K9:K14" si="2">+D9+G9</f>
        <v>6.3917234291666656</v>
      </c>
      <c r="L9" s="110">
        <f t="shared" ref="L9:L15" si="3">+D9/K9</f>
        <v>0.37429696281126179</v>
      </c>
      <c r="M9" s="110">
        <f t="shared" ref="M9:M15" si="4">+G9/K9</f>
        <v>0.62570303718873832</v>
      </c>
      <c r="N9" s="110">
        <v>5.9</v>
      </c>
      <c r="O9" s="114">
        <f t="shared" ref="O9:O18" si="5">+K9-N9</f>
        <v>0.49172342916666523</v>
      </c>
    </row>
    <row r="10" spans="1:16" x14ac:dyDescent="0.2">
      <c r="A10" t="s">
        <v>228</v>
      </c>
      <c r="B10" s="110">
        <v>11.415833333333333</v>
      </c>
      <c r="C10" s="110">
        <v>19.309999999999999</v>
      </c>
      <c r="D10" s="111">
        <f t="shared" si="0"/>
        <v>2.2043974166666667</v>
      </c>
      <c r="E10" s="110">
        <v>47.507170961244562</v>
      </c>
      <c r="F10" s="110">
        <v>177.7</v>
      </c>
      <c r="G10" s="112">
        <f t="shared" si="1"/>
        <v>4.2210121399065796</v>
      </c>
      <c r="H10" s="113" t="s">
        <v>150</v>
      </c>
      <c r="I10" s="113" t="s">
        <v>150</v>
      </c>
      <c r="J10" s="113" t="s">
        <v>150</v>
      </c>
      <c r="K10" s="110">
        <f t="shared" si="2"/>
        <v>6.4254095565732463</v>
      </c>
      <c r="L10" s="110">
        <f t="shared" si="3"/>
        <v>0.34307500514290956</v>
      </c>
      <c r="M10" s="110">
        <f t="shared" si="4"/>
        <v>0.65692499485709044</v>
      </c>
      <c r="N10" s="110">
        <v>5.84</v>
      </c>
      <c r="O10" s="114">
        <f t="shared" si="5"/>
        <v>0.58540955657324645</v>
      </c>
    </row>
    <row r="11" spans="1:16" ht="10.15" customHeight="1" x14ac:dyDescent="0.2">
      <c r="A11" t="s">
        <v>229</v>
      </c>
      <c r="B11" s="111">
        <v>10.845000000000001</v>
      </c>
      <c r="C11" s="111">
        <v>21.01</v>
      </c>
      <c r="D11" s="111">
        <f t="shared" si="0"/>
        <v>2.2785345000000006</v>
      </c>
      <c r="E11" s="112">
        <v>47.538416188866989</v>
      </c>
      <c r="F11" s="112">
        <v>180.8</v>
      </c>
      <c r="G11" s="112">
        <f t="shared" si="1"/>
        <v>4.2974728234735755</v>
      </c>
      <c r="H11" s="113" t="s">
        <v>150</v>
      </c>
      <c r="I11" s="113" t="s">
        <v>150</v>
      </c>
      <c r="J11" s="113" t="s">
        <v>150</v>
      </c>
      <c r="K11" s="110">
        <f t="shared" si="2"/>
        <v>6.5760073234735756</v>
      </c>
      <c r="L11" s="110">
        <f t="shared" si="3"/>
        <v>0.34649208675096699</v>
      </c>
      <c r="M11" s="110">
        <f t="shared" si="4"/>
        <v>0.65350791324903301</v>
      </c>
      <c r="N11" s="112">
        <v>5.95</v>
      </c>
      <c r="O11" s="114">
        <f t="shared" si="5"/>
        <v>0.62600732347357546</v>
      </c>
    </row>
    <row r="12" spans="1:16" ht="10.15" customHeight="1" x14ac:dyDescent="0.2">
      <c r="A12" t="s">
        <v>230</v>
      </c>
      <c r="B12" s="111">
        <f>13861008/1275648</f>
        <v>10.86585641180012</v>
      </c>
      <c r="C12" s="111">
        <v>26.74</v>
      </c>
      <c r="D12" s="111">
        <f t="shared" si="0"/>
        <v>2.9055300045153518</v>
      </c>
      <c r="E12" s="112">
        <f>(30370.2*2000)/1275648</f>
        <v>47.615329620710412</v>
      </c>
      <c r="F12" s="112">
        <v>182.65</v>
      </c>
      <c r="G12" s="112">
        <f t="shared" si="1"/>
        <v>4.3484699776113782</v>
      </c>
      <c r="H12" s="113" t="s">
        <v>150</v>
      </c>
      <c r="I12" s="113" t="s">
        <v>150</v>
      </c>
      <c r="J12" s="113" t="s">
        <v>150</v>
      </c>
      <c r="K12" s="110">
        <f t="shared" si="2"/>
        <v>7.2539999821267305</v>
      </c>
      <c r="L12" s="110">
        <f t="shared" si="3"/>
        <v>0.40054177166726534</v>
      </c>
      <c r="M12" s="110">
        <f t="shared" si="4"/>
        <v>0.59945822833273454</v>
      </c>
      <c r="N12" s="111">
        <v>6.59</v>
      </c>
      <c r="O12" s="114">
        <f t="shared" si="5"/>
        <v>0.66399998212673061</v>
      </c>
    </row>
    <row r="13" spans="1:16" x14ac:dyDescent="0.2">
      <c r="A13" t="s">
        <v>231</v>
      </c>
      <c r="B13" s="111">
        <f>15572418/1405156</f>
        <v>11.082341035443751</v>
      </c>
      <c r="C13" s="111">
        <v>27.5</v>
      </c>
      <c r="D13" s="111">
        <f t="shared" si="0"/>
        <v>3.0476437847470317</v>
      </c>
      <c r="E13" s="112">
        <f>(33250.7*2000)/1405156</f>
        <v>47.326702515592572</v>
      </c>
      <c r="F13" s="112">
        <v>151.77000000000001</v>
      </c>
      <c r="G13" s="112">
        <f t="shared" si="1"/>
        <v>3.5913868203957429</v>
      </c>
      <c r="H13" s="113" t="s">
        <v>150</v>
      </c>
      <c r="I13" s="113" t="s">
        <v>150</v>
      </c>
      <c r="J13" s="113" t="s">
        <v>150</v>
      </c>
      <c r="K13" s="110">
        <f t="shared" si="2"/>
        <v>6.639030605142775</v>
      </c>
      <c r="L13" s="110">
        <f t="shared" si="3"/>
        <v>0.45904951581127573</v>
      </c>
      <c r="M13" s="110">
        <f t="shared" si="4"/>
        <v>0.54095048418872427</v>
      </c>
      <c r="N13" s="111">
        <v>5.73</v>
      </c>
      <c r="O13" s="114">
        <f t="shared" si="5"/>
        <v>0.90903060514277456</v>
      </c>
    </row>
    <row r="14" spans="1:16" x14ac:dyDescent="0.2">
      <c r="A14" t="s">
        <v>232</v>
      </c>
      <c r="B14" s="111">
        <f>(15275787*60)/(41086.224*2000)</f>
        <v>11.153948097055597</v>
      </c>
      <c r="C14" s="111">
        <v>24.9</v>
      </c>
      <c r="D14" s="111">
        <f t="shared" si="0"/>
        <v>2.7773330761668431</v>
      </c>
      <c r="E14" s="112">
        <f>(30333276+2325473)*60/41086224</f>
        <v>47.692991694734467</v>
      </c>
      <c r="F14" s="112">
        <v>217.27</v>
      </c>
      <c r="G14" s="112">
        <f t="shared" si="1"/>
        <v>5.1811281527574788</v>
      </c>
      <c r="H14" s="113" t="s">
        <v>150</v>
      </c>
      <c r="I14" s="113" t="s">
        <v>150</v>
      </c>
      <c r="J14" s="113" t="s">
        <v>150</v>
      </c>
      <c r="K14" s="110">
        <f t="shared" si="2"/>
        <v>7.958461228924322</v>
      </c>
      <c r="L14" s="110">
        <f t="shared" si="3"/>
        <v>0.34897865256575883</v>
      </c>
      <c r="M14" s="110">
        <f t="shared" si="4"/>
        <v>0.65102134743424112</v>
      </c>
      <c r="N14" s="110">
        <v>7.39</v>
      </c>
      <c r="O14" s="114">
        <f t="shared" si="5"/>
        <v>0.56846122892432227</v>
      </c>
    </row>
    <row r="15" spans="1:16" x14ac:dyDescent="0.2">
      <c r="A15" t="s">
        <v>233</v>
      </c>
      <c r="B15" s="111">
        <f>(15664400*60)/(43078.871*2000)</f>
        <v>10.908642429371001</v>
      </c>
      <c r="C15" s="111">
        <v>22.6</v>
      </c>
      <c r="D15" s="111">
        <f t="shared" si="0"/>
        <v>2.4653531890378466</v>
      </c>
      <c r="E15" s="112">
        <f>(31680021+2326505)*60/43078871</f>
        <v>47.364090855584401</v>
      </c>
      <c r="F15" s="112">
        <v>260.38</v>
      </c>
      <c r="G15" s="112">
        <f t="shared" si="1"/>
        <v>6.1663309884885331</v>
      </c>
      <c r="H15" s="113" t="s">
        <v>150</v>
      </c>
      <c r="I15" s="113" t="s">
        <v>150</v>
      </c>
      <c r="J15" s="113" t="s">
        <v>150</v>
      </c>
      <c r="K15" s="110">
        <f>D15+G15</f>
        <v>8.6316841775263793</v>
      </c>
      <c r="L15" s="110">
        <f t="shared" si="3"/>
        <v>0.28561670449628918</v>
      </c>
      <c r="M15" s="110">
        <f t="shared" si="4"/>
        <v>0.71438329550371094</v>
      </c>
      <c r="N15" s="110">
        <v>7.8</v>
      </c>
      <c r="O15" s="114">
        <f t="shared" si="5"/>
        <v>0.83168417752637946</v>
      </c>
    </row>
    <row r="16" spans="1:16" x14ac:dyDescent="0.2">
      <c r="A16" t="s">
        <v>234</v>
      </c>
      <c r="B16" s="111">
        <f>(17963296*60)/(47909.41*2000)</f>
        <v>11.248288801719745</v>
      </c>
      <c r="C16" s="111">
        <v>25.65</v>
      </c>
      <c r="D16" s="111">
        <f t="shared" si="0"/>
        <v>2.8851860776411145</v>
      </c>
      <c r="E16" s="112">
        <f>(35243382+2613338)*60/47909410</f>
        <v>47.410377209821618</v>
      </c>
      <c r="F16" s="112">
        <v>186.55</v>
      </c>
      <c r="G16" s="112">
        <f t="shared" si="1"/>
        <v>4.422202934246112</v>
      </c>
      <c r="H16" s="113" t="s">
        <v>150</v>
      </c>
      <c r="I16" s="113" t="s">
        <v>150</v>
      </c>
      <c r="J16" s="113" t="s">
        <v>150</v>
      </c>
      <c r="K16" s="110">
        <f>D16+G16</f>
        <v>7.307389011887226</v>
      </c>
      <c r="L16" s="110">
        <f>D16/K16</f>
        <v>0.39483132387610204</v>
      </c>
      <c r="M16" s="110">
        <f>G16/K16</f>
        <v>0.60516867612389802</v>
      </c>
      <c r="N16" s="110">
        <v>6.64</v>
      </c>
      <c r="O16" s="114">
        <f t="shared" si="5"/>
        <v>0.66738901188722632</v>
      </c>
    </row>
    <row r="17" spans="1:17" x14ac:dyDescent="0.2">
      <c r="A17" t="s">
        <v>235</v>
      </c>
      <c r="B17" s="111">
        <f>(17960000*60)/(47693.6*2000)</f>
        <v>11.297113239512219</v>
      </c>
      <c r="C17" s="111">
        <v>20.49</v>
      </c>
      <c r="D17" s="111">
        <f t="shared" si="0"/>
        <v>2.3147785027760537</v>
      </c>
      <c r="E17" s="112">
        <f>(35050200+2509215)*60/47693600</f>
        <v>47.250886911451431</v>
      </c>
      <c r="F17" s="112">
        <v>130.56</v>
      </c>
      <c r="G17" s="112">
        <f t="shared" si="1"/>
        <v>3.0845378975795494</v>
      </c>
      <c r="H17" s="113" t="s">
        <v>150</v>
      </c>
      <c r="I17" s="113" t="s">
        <v>150</v>
      </c>
      <c r="J17" s="113" t="s">
        <v>150</v>
      </c>
      <c r="K17" s="110">
        <f>D17+G17</f>
        <v>5.3993164003556036</v>
      </c>
      <c r="L17" s="110">
        <f>D17/K17</f>
        <v>0.42871695806224663</v>
      </c>
      <c r="M17" s="110">
        <f>G17/K17</f>
        <v>0.57128304193775326</v>
      </c>
      <c r="N17" s="110">
        <v>5</v>
      </c>
      <c r="O17" s="114">
        <f t="shared" si="5"/>
        <v>0.39931640035560356</v>
      </c>
    </row>
    <row r="18" spans="1:17" x14ac:dyDescent="0.2">
      <c r="A18" t="s">
        <v>236</v>
      </c>
      <c r="B18" s="111">
        <f>(17887147*60)/(47319.5*2000)</f>
        <v>11.340238379526411</v>
      </c>
      <c r="C18" s="111">
        <v>15.81</v>
      </c>
      <c r="D18" s="111">
        <f t="shared" si="0"/>
        <v>1.7928916878031256</v>
      </c>
      <c r="E18" s="112">
        <f>(34950200+2719091)*60/47319500</f>
        <v>47.763764621350603</v>
      </c>
      <c r="F18" s="112">
        <v>158.04</v>
      </c>
      <c r="G18" s="112">
        <f t="shared" si="1"/>
        <v>3.7742926803791241</v>
      </c>
      <c r="H18" s="113" t="s">
        <v>150</v>
      </c>
      <c r="I18" s="113" t="s">
        <v>150</v>
      </c>
      <c r="J18" s="113" t="s">
        <v>150</v>
      </c>
      <c r="K18" s="110">
        <f>D18+G18</f>
        <v>5.5671843681822502</v>
      </c>
      <c r="L18" s="110">
        <f>G18/K18</f>
        <v>0.67795359930058763</v>
      </c>
      <c r="M18" s="110">
        <f>D18/K18</f>
        <v>0.32204640069941232</v>
      </c>
      <c r="N18" s="110">
        <v>4.9024999999999999</v>
      </c>
      <c r="O18" s="114">
        <f t="shared" si="5"/>
        <v>0.6646843681822503</v>
      </c>
    </row>
    <row r="19" spans="1:17" x14ac:dyDescent="0.2">
      <c r="A19" t="s">
        <v>28</v>
      </c>
      <c r="B19" s="111">
        <f>(18433200*60)/(49189.1*2000)</f>
        <v>11.242246757919945</v>
      </c>
      <c r="C19" s="111">
        <v>13.99</v>
      </c>
      <c r="D19" s="111">
        <f t="shared" si="0"/>
        <v>1.5727903214330003</v>
      </c>
      <c r="E19" s="115">
        <f>(36703167+2694848)*60/49189100</f>
        <v>48.057006531934924</v>
      </c>
      <c r="F19" s="115">
        <v>165.6</v>
      </c>
      <c r="G19" s="115">
        <f t="shared" si="1"/>
        <v>3.9791201408442118</v>
      </c>
      <c r="H19" s="113" t="s">
        <v>150</v>
      </c>
      <c r="I19" s="113" t="s">
        <v>150</v>
      </c>
      <c r="J19" s="113" t="s">
        <v>150</v>
      </c>
      <c r="K19" s="110">
        <f>D19+G19</f>
        <v>5.5519104622772124</v>
      </c>
      <c r="L19" s="111">
        <f>'tab 9'!D19/K19</f>
        <v>0.28328812795512792</v>
      </c>
      <c r="M19" s="111">
        <f>'tab 9'!G19/K19</f>
        <v>0.71671187204487208</v>
      </c>
      <c r="N19" s="111">
        <v>4.7708333333333339</v>
      </c>
      <c r="O19" s="116">
        <f t="shared" ref="O19:O24" si="6">K19-N19</f>
        <v>0.78107712894387848</v>
      </c>
      <c r="P19" s="117"/>
      <c r="Q19" s="114"/>
    </row>
    <row r="20" spans="1:17" x14ac:dyDescent="0.2">
      <c r="A20" t="s">
        <v>29</v>
      </c>
      <c r="B20" s="111">
        <f>(18936905*60)/(50992.002*2000)</f>
        <v>11.141103069457834</v>
      </c>
      <c r="C20" s="111">
        <v>16.05</v>
      </c>
      <c r="D20" s="111">
        <f t="shared" si="0"/>
        <v>1.7881470426479824</v>
      </c>
      <c r="E20" s="112">
        <f>(37624201)*60/50992002</f>
        <v>44.270708571120622</v>
      </c>
      <c r="F20" s="115">
        <v>166.56</v>
      </c>
      <c r="G20" s="115">
        <f>E20*F20/2000</f>
        <v>3.6868646098029254</v>
      </c>
      <c r="H20" s="117">
        <f>(2833142*60)/50992002</f>
        <v>3.3336310270775407</v>
      </c>
      <c r="I20" s="117">
        <v>61.332500000000003</v>
      </c>
      <c r="J20" s="118">
        <f>H20*I20/2000</f>
        <v>0.10222996248411664</v>
      </c>
      <c r="K20" s="110">
        <f>D20+G20+J20</f>
        <v>5.5772416149350246</v>
      </c>
      <c r="L20" s="110">
        <f>D20/K20</f>
        <v>0.32061495020398439</v>
      </c>
      <c r="M20" s="111">
        <f>(+G20+J20)/K20</f>
        <v>0.67938504979601566</v>
      </c>
      <c r="N20" s="111">
        <v>4.7858333333333336</v>
      </c>
      <c r="O20" s="116">
        <f t="shared" si="6"/>
        <v>0.79140828160169097</v>
      </c>
    </row>
    <row r="21" spans="1:17" x14ac:dyDescent="0.2">
      <c r="A21" t="s">
        <v>30</v>
      </c>
      <c r="B21" s="111">
        <f>(18406694*60)/(48463.925*2000)</f>
        <v>11.394058983047699</v>
      </c>
      <c r="C21" s="111">
        <v>21.8</v>
      </c>
      <c r="D21" s="111">
        <f t="shared" si="0"/>
        <v>2.4839048583043986</v>
      </c>
      <c r="E21" s="112">
        <f>(35460773*60)/48463925</f>
        <v>43.901652208317834</v>
      </c>
      <c r="F21" s="115">
        <v>178.87</v>
      </c>
      <c r="G21" s="115">
        <f>E21*F21/2000</f>
        <v>3.9263442652509055</v>
      </c>
      <c r="H21" s="117">
        <f>(2639934*60)/48463925</f>
        <v>3.2683287620637413</v>
      </c>
      <c r="I21" s="117">
        <v>66.002499999999998</v>
      </c>
      <c r="J21" s="118">
        <f>H21*I21/2000</f>
        <v>0.10785893455905604</v>
      </c>
      <c r="K21" s="110">
        <f>D21+G21+J21</f>
        <v>6.5181080581143602</v>
      </c>
      <c r="L21" s="110">
        <f>D21/K21</f>
        <v>0.38107758204655684</v>
      </c>
      <c r="M21" s="111">
        <f>(+G21+J21)/K21</f>
        <v>0.61892241795344305</v>
      </c>
      <c r="N21" s="111">
        <v>5.8975</v>
      </c>
      <c r="O21" s="116">
        <f t="shared" si="6"/>
        <v>0.62060805811436026</v>
      </c>
    </row>
    <row r="22" spans="1:17" x14ac:dyDescent="0.2">
      <c r="A22" t="s">
        <v>31</v>
      </c>
      <c r="B22" s="111">
        <f>(17134534*60)/(45892.321*2000)</f>
        <v>11.200915726184343</v>
      </c>
      <c r="C22" s="111">
        <v>29.74</v>
      </c>
      <c r="D22" s="111">
        <f t="shared" si="0"/>
        <v>3.3311523369672233</v>
      </c>
      <c r="E22" s="112">
        <f>(33896303*60)/45892321</f>
        <v>44.316306861010581</v>
      </c>
      <c r="F22" s="115">
        <v>259.58999999999997</v>
      </c>
      <c r="G22" s="115">
        <f>E22*F22/2000</f>
        <v>5.7520350490248671</v>
      </c>
      <c r="H22" s="117">
        <f>(2578876*60)/45892321</f>
        <v>3.3716438094294685</v>
      </c>
      <c r="I22" s="117">
        <v>77.334999999999994</v>
      </c>
      <c r="J22" s="118">
        <f>H22*I22/2000</f>
        <v>0.13037303700111397</v>
      </c>
      <c r="K22" s="110">
        <f>D22+G22+J22</f>
        <v>9.2135604229932042</v>
      </c>
      <c r="L22" s="110">
        <f>D22/K22</f>
        <v>0.36154886754246018</v>
      </c>
      <c r="M22" s="111">
        <f>(+G22+J22)/K22</f>
        <v>0.63845113245753982</v>
      </c>
      <c r="N22" s="111">
        <v>8.2191666666666663</v>
      </c>
      <c r="O22" s="116">
        <f t="shared" si="6"/>
        <v>0.99439375632653793</v>
      </c>
    </row>
    <row r="23" spans="1:17" x14ac:dyDescent="0.2">
      <c r="A23" t="s">
        <v>32</v>
      </c>
      <c r="B23" s="111">
        <f>(19223995*60)/(50897.425*2000)</f>
        <v>11.331022148959402</v>
      </c>
      <c r="C23" s="111">
        <v>23.24</v>
      </c>
      <c r="D23" s="111">
        <f>(B23*C23)/100</f>
        <v>2.6333295474181648</v>
      </c>
      <c r="E23" s="112">
        <f>(37548458*60)/50897425</f>
        <v>44.263682887690294</v>
      </c>
      <c r="F23" s="115">
        <v>182.91333333333333</v>
      </c>
      <c r="G23" s="115">
        <f>E23*F23/2000</f>
        <v>4.048208891298529</v>
      </c>
      <c r="H23" s="117">
        <f>(2895378*60)/50897425</f>
        <v>3.4131919247388254</v>
      </c>
      <c r="I23" s="117">
        <v>56.531666666666666</v>
      </c>
      <c r="J23" s="118">
        <f>H23*I23/2000</f>
        <v>9.6476714079346854E-2</v>
      </c>
      <c r="K23" s="110">
        <f>D23+G23+J23</f>
        <v>6.7780151527960406</v>
      </c>
      <c r="L23" s="110">
        <f>D23/K23</f>
        <v>0.38851042496295896</v>
      </c>
      <c r="M23" s="111">
        <f>(+G23+J23)/K23</f>
        <v>0.61148957503704104</v>
      </c>
      <c r="N23" s="111">
        <v>5.9833333333333334</v>
      </c>
      <c r="O23" s="116">
        <f t="shared" si="6"/>
        <v>0.79468181946270722</v>
      </c>
      <c r="P23" s="116"/>
    </row>
    <row r="24" spans="1:17" x14ac:dyDescent="0.2">
      <c r="A24" t="s">
        <v>33</v>
      </c>
      <c r="B24" s="111">
        <f>(20237322*60)/(52165.552*2000)</f>
        <v>11.63832523041259</v>
      </c>
      <c r="C24" s="111">
        <v>23.38</v>
      </c>
      <c r="D24" s="111">
        <f>(B24*C24)/100</f>
        <v>2.7210404388704639</v>
      </c>
      <c r="E24" s="112">
        <f>(38111108*60)/52165552</f>
        <v>43.834798872635339</v>
      </c>
      <c r="F24" s="115">
        <v>174.71</v>
      </c>
      <c r="G24" s="115">
        <f>E24*F24/2000</f>
        <v>3.8291888555190603</v>
      </c>
      <c r="H24" s="117">
        <f>(2935377*60)/52165552</f>
        <v>3.3762246012464319</v>
      </c>
      <c r="I24" s="117">
        <v>68.989999999999995</v>
      </c>
      <c r="J24" s="118">
        <f>H24*I24/2000</f>
        <v>0.11646286761999566</v>
      </c>
      <c r="K24" s="110">
        <f>D24+G24+J24</f>
        <v>6.6666921620095199</v>
      </c>
      <c r="L24" s="110">
        <f>D24/K24</f>
        <v>0.40815450492471356</v>
      </c>
      <c r="M24" s="111">
        <f>(+G24+J24)/K24</f>
        <v>0.59184549507528639</v>
      </c>
      <c r="N24" s="111">
        <v>5.7</v>
      </c>
      <c r="O24" s="116">
        <f t="shared" si="6"/>
        <v>0.96669216200951968</v>
      </c>
    </row>
    <row r="25" spans="1:17" x14ac:dyDescent="0.2">
      <c r="B25" s="111"/>
      <c r="C25" s="111"/>
      <c r="D25" s="111"/>
      <c r="E25" s="112"/>
      <c r="F25" s="115"/>
      <c r="G25" s="115"/>
      <c r="H25" s="117"/>
      <c r="I25" s="117"/>
      <c r="J25" s="118"/>
      <c r="K25" s="110"/>
      <c r="L25" s="110"/>
      <c r="M25" s="111"/>
      <c r="N25" s="111"/>
      <c r="O25" s="116"/>
    </row>
    <row r="26" spans="1:17" x14ac:dyDescent="0.2">
      <c r="A26" t="s">
        <v>34</v>
      </c>
      <c r="B26" s="111"/>
      <c r="C26" s="110"/>
      <c r="D26" s="118"/>
      <c r="E26" s="115"/>
      <c r="F26" s="110"/>
      <c r="G26" s="112"/>
      <c r="H26" s="117"/>
      <c r="I26" s="117"/>
      <c r="J26" s="118"/>
      <c r="K26" s="111"/>
      <c r="L26" s="111"/>
      <c r="M26" s="111"/>
      <c r="N26" s="111"/>
      <c r="O26" s="116"/>
    </row>
    <row r="27" spans="1:17" x14ac:dyDescent="0.2">
      <c r="A27" t="s">
        <v>172</v>
      </c>
      <c r="B27" s="111">
        <f>(1684058*60)/(4270.987*2000)</f>
        <v>11.829054970197756</v>
      </c>
      <c r="C27" s="110">
        <v>23.54</v>
      </c>
      <c r="D27" s="111">
        <f t="shared" ref="D27:D39" si="7">(B27*C27)/100</f>
        <v>2.784559539984552</v>
      </c>
      <c r="E27" s="112">
        <f>(3107826*60)/4270987</f>
        <v>43.659594374789712</v>
      </c>
      <c r="F27" s="110">
        <v>168.87</v>
      </c>
      <c r="G27" s="112">
        <f t="shared" ref="G27:G39" si="8">E27*F27/2000</f>
        <v>3.6863978510353697</v>
      </c>
      <c r="H27" s="117">
        <f>(246680*60)/4270987</f>
        <v>3.4654284829244388</v>
      </c>
      <c r="I27" s="117">
        <v>80.13</v>
      </c>
      <c r="J27" s="117">
        <f t="shared" ref="J27:J39" si="9">H27*I27/2000</f>
        <v>0.13884239216836763</v>
      </c>
      <c r="K27" s="110">
        <f t="shared" ref="K27:K39" si="10">D27+G27+J27</f>
        <v>6.6097997831882891</v>
      </c>
      <c r="L27" s="110">
        <f t="shared" ref="L27:L39" si="11">D27/K27</f>
        <v>0.42127744127241895</v>
      </c>
      <c r="M27" s="111">
        <f t="shared" ref="M27:M39" si="12">(+G27+J27)/K27</f>
        <v>0.57872255872758105</v>
      </c>
      <c r="N27" s="111">
        <v>5.35</v>
      </c>
      <c r="O27" s="116">
        <f t="shared" ref="O27:O39" si="13">K27-N27</f>
        <v>1.2597997831882894</v>
      </c>
    </row>
    <row r="28" spans="1:17" x14ac:dyDescent="0.2">
      <c r="A28" t="s">
        <v>173</v>
      </c>
      <c r="B28" s="111">
        <f>(1829500*60)/(4852.211*2000)</f>
        <v>11.311338274448493</v>
      </c>
      <c r="C28" s="110">
        <v>24.8</v>
      </c>
      <c r="D28" s="111">
        <f t="shared" si="7"/>
        <v>2.8052118920632263</v>
      </c>
      <c r="E28" s="112">
        <f>(3560000*60)/4852211</f>
        <v>44.021168906298591</v>
      </c>
      <c r="F28" s="110">
        <v>177.71</v>
      </c>
      <c r="G28" s="112">
        <f t="shared" si="8"/>
        <v>3.9115009631691615</v>
      </c>
      <c r="H28" s="117">
        <f>(263200*60)/4852211</f>
        <v>3.2545987798139859</v>
      </c>
      <c r="I28" s="117">
        <v>81.13</v>
      </c>
      <c r="J28" s="117">
        <f t="shared" si="9"/>
        <v>0.13202279950315435</v>
      </c>
      <c r="K28" s="110">
        <f t="shared" si="10"/>
        <v>6.8487356547355418</v>
      </c>
      <c r="L28" s="110">
        <f t="shared" si="11"/>
        <v>0.40959558573757615</v>
      </c>
      <c r="M28" s="111">
        <f t="shared" si="12"/>
        <v>0.59040441426242396</v>
      </c>
      <c r="N28" s="111">
        <v>5.8</v>
      </c>
      <c r="O28" s="116">
        <f t="shared" si="13"/>
        <v>1.048735654735542</v>
      </c>
    </row>
    <row r="29" spans="1:17" x14ac:dyDescent="0.2">
      <c r="A29" t="s">
        <v>174</v>
      </c>
      <c r="B29" s="111">
        <f>(1724959*60)/(4652.901*2000)</f>
        <v>11.121829155617108</v>
      </c>
      <c r="C29" s="110">
        <v>27.64</v>
      </c>
      <c r="D29" s="111">
        <f t="shared" si="7"/>
        <v>3.0740735786125692</v>
      </c>
      <c r="E29" s="112">
        <f>(3411691*60)/4652901</f>
        <v>43.994372543065069</v>
      </c>
      <c r="F29" s="110">
        <v>190.67</v>
      </c>
      <c r="G29" s="112">
        <f t="shared" si="8"/>
        <v>4.1942035063931078</v>
      </c>
      <c r="H29" s="117">
        <f>(260253*60)/4652901</f>
        <v>3.3560095089063791</v>
      </c>
      <c r="I29" s="117">
        <v>90.4</v>
      </c>
      <c r="J29" s="117">
        <f t="shared" si="9"/>
        <v>0.15169162980256834</v>
      </c>
      <c r="K29" s="110">
        <f t="shared" si="10"/>
        <v>7.4199687148082454</v>
      </c>
      <c r="L29" s="110">
        <f t="shared" si="11"/>
        <v>0.41429737735653144</v>
      </c>
      <c r="M29" s="111">
        <f t="shared" si="12"/>
        <v>0.58570262264346851</v>
      </c>
      <c r="N29" s="111">
        <v>6.61</v>
      </c>
      <c r="O29" s="116">
        <f t="shared" si="13"/>
        <v>0.80996871480824506</v>
      </c>
    </row>
    <row r="30" spans="1:17" x14ac:dyDescent="0.2">
      <c r="A30" t="s">
        <v>175</v>
      </c>
      <c r="B30" s="111">
        <f>(1771000*60)/(4714.486*2000)</f>
        <v>11.269521216098637</v>
      </c>
      <c r="C30" s="110">
        <v>27.63</v>
      </c>
      <c r="D30" s="111">
        <f t="shared" si="7"/>
        <v>3.1137687120080533</v>
      </c>
      <c r="E30" s="112">
        <f>(3466300*60)/4714486</f>
        <v>44.114671249421463</v>
      </c>
      <c r="F30" s="110">
        <v>180.63</v>
      </c>
      <c r="G30" s="112">
        <f t="shared" si="8"/>
        <v>3.9842165338914994</v>
      </c>
      <c r="H30" s="117">
        <f>(266656*60)/4714486</f>
        <v>3.3936594572557857</v>
      </c>
      <c r="I30" s="117">
        <v>125.75</v>
      </c>
      <c r="J30" s="117">
        <f t="shared" si="9"/>
        <v>0.21337633837495754</v>
      </c>
      <c r="K30" s="110">
        <f t="shared" si="10"/>
        <v>7.3113615842745103</v>
      </c>
      <c r="L30" s="110">
        <f t="shared" si="11"/>
        <v>0.42588082617952283</v>
      </c>
      <c r="M30" s="111">
        <f t="shared" si="12"/>
        <v>0.57411917382047717</v>
      </c>
      <c r="N30" s="111">
        <v>6.57</v>
      </c>
      <c r="O30" s="116">
        <f t="shared" si="13"/>
        <v>0.74136158427451004</v>
      </c>
    </row>
    <row r="31" spans="1:17" x14ac:dyDescent="0.2">
      <c r="A31" t="s">
        <v>176</v>
      </c>
      <c r="B31" s="111">
        <f>(1746272*60)/(4659.544*2000)</f>
        <v>11.243194613035095</v>
      </c>
      <c r="C31" s="110">
        <v>28</v>
      </c>
      <c r="D31" s="111">
        <f t="shared" si="7"/>
        <v>3.1480944916498266</v>
      </c>
      <c r="E31" s="112">
        <f>(3423956*60)/4659544</f>
        <v>44.089584731896515</v>
      </c>
      <c r="F31" s="110">
        <v>190.36</v>
      </c>
      <c r="G31" s="112">
        <f t="shared" si="8"/>
        <v>4.1964466747819102</v>
      </c>
      <c r="H31" s="117">
        <f>(269336*60)/4659544</f>
        <v>3.4681848695923891</v>
      </c>
      <c r="I31" s="117">
        <v>122.13</v>
      </c>
      <c r="J31" s="117">
        <f t="shared" si="9"/>
        <v>0.21178470906165925</v>
      </c>
      <c r="K31" s="110">
        <f t="shared" si="10"/>
        <v>7.5563258754933962</v>
      </c>
      <c r="L31" s="110">
        <f t="shared" si="11"/>
        <v>0.4166170892469972</v>
      </c>
      <c r="M31" s="111">
        <f t="shared" si="12"/>
        <v>0.58338291075300275</v>
      </c>
      <c r="N31" s="111">
        <v>6.83</v>
      </c>
      <c r="O31" s="116">
        <f t="shared" si="13"/>
        <v>0.72632587549339611</v>
      </c>
    </row>
    <row r="32" spans="1:17" x14ac:dyDescent="0.2">
      <c r="A32" t="s">
        <v>177</v>
      </c>
      <c r="B32" s="111">
        <f>(1547206*60)/(4102.777*2000)</f>
        <v>11.313356782491468</v>
      </c>
      <c r="C32" s="110">
        <v>28.94</v>
      </c>
      <c r="D32" s="111">
        <f t="shared" si="7"/>
        <v>3.274085452853031</v>
      </c>
      <c r="E32" s="112">
        <f>(3013821*60)/4102777</f>
        <v>44.074844916016637</v>
      </c>
      <c r="F32" s="110">
        <v>208.81</v>
      </c>
      <c r="G32" s="112">
        <f t="shared" si="8"/>
        <v>4.6016341834567172</v>
      </c>
      <c r="H32" s="117">
        <f>(238787*60)/4102777</f>
        <v>3.4920786579431442</v>
      </c>
      <c r="I32" s="117">
        <v>109.21</v>
      </c>
      <c r="J32" s="117">
        <f t="shared" si="9"/>
        <v>0.19068495511698538</v>
      </c>
      <c r="K32" s="110">
        <f t="shared" si="10"/>
        <v>8.0664045914267337</v>
      </c>
      <c r="L32" s="110">
        <f t="shared" si="11"/>
        <v>0.40589154879893419</v>
      </c>
      <c r="M32" s="111">
        <f t="shared" si="12"/>
        <v>0.59410845120106581</v>
      </c>
      <c r="N32" s="111">
        <v>7.35</v>
      </c>
      <c r="O32" s="116">
        <f t="shared" si="13"/>
        <v>0.71640459142673407</v>
      </c>
    </row>
    <row r="33" spans="1:15" x14ac:dyDescent="0.2">
      <c r="A33" t="s">
        <v>178</v>
      </c>
      <c r="B33" s="111">
        <f>(1764256*60)/(4672.487*2000)</f>
        <v>11.327517872173855</v>
      </c>
      <c r="C33" s="110">
        <v>29.74</v>
      </c>
      <c r="D33" s="111">
        <f t="shared" si="7"/>
        <v>3.3688038151845046</v>
      </c>
      <c r="E33" s="112">
        <f>(3442603*60)/4672487</f>
        <v>44.206903090367078</v>
      </c>
      <c r="F33" s="110">
        <v>205.26</v>
      </c>
      <c r="G33" s="112">
        <f t="shared" si="8"/>
        <v>4.5369544641643733</v>
      </c>
      <c r="H33" s="117">
        <f>(269686*60)/4672487</f>
        <v>3.4630722354069685</v>
      </c>
      <c r="I33" s="117">
        <v>110.07</v>
      </c>
      <c r="J33" s="117">
        <f t="shared" si="9"/>
        <v>0.19059018047562251</v>
      </c>
      <c r="K33" s="110">
        <f t="shared" si="10"/>
        <v>8.096348459824501</v>
      </c>
      <c r="L33" s="110">
        <f t="shared" si="11"/>
        <v>0.41608928171769027</v>
      </c>
      <c r="M33" s="111">
        <f t="shared" si="12"/>
        <v>0.58391071828230967</v>
      </c>
      <c r="N33" s="111">
        <v>7.3</v>
      </c>
      <c r="O33" s="116">
        <f t="shared" si="13"/>
        <v>0.7963484598245012</v>
      </c>
    </row>
    <row r="34" spans="1:15" x14ac:dyDescent="0.2">
      <c r="A34" t="s">
        <v>179</v>
      </c>
      <c r="B34" s="111">
        <f>(1626493*60)/(4348.095*2000)</f>
        <v>11.222107612644159</v>
      </c>
      <c r="C34" s="110">
        <v>31.06</v>
      </c>
      <c r="D34" s="111">
        <f t="shared" si="7"/>
        <v>3.4855866244872753</v>
      </c>
      <c r="E34" s="112">
        <f>(3190355*60)/4348095</f>
        <v>44.024176104707927</v>
      </c>
      <c r="F34" s="110">
        <v>189.37</v>
      </c>
      <c r="G34" s="112">
        <f t="shared" si="8"/>
        <v>4.1684291144742698</v>
      </c>
      <c r="H34" s="117">
        <f>(252497*60)/4348095</f>
        <v>3.4842430995642921</v>
      </c>
      <c r="I34" s="117">
        <v>97.75</v>
      </c>
      <c r="J34" s="117">
        <f t="shared" si="9"/>
        <v>0.17029238149120476</v>
      </c>
      <c r="K34" s="110">
        <f t="shared" si="10"/>
        <v>7.8243081204527503</v>
      </c>
      <c r="L34" s="110">
        <f t="shared" si="11"/>
        <v>0.44548176922838045</v>
      </c>
      <c r="M34" s="111">
        <f t="shared" si="12"/>
        <v>0.55451823077161944</v>
      </c>
      <c r="N34" s="111">
        <v>7.18</v>
      </c>
      <c r="O34" s="116">
        <f t="shared" si="13"/>
        <v>0.64430812045275054</v>
      </c>
    </row>
    <row r="35" spans="1:15" x14ac:dyDescent="0.2">
      <c r="A35" t="s">
        <v>180</v>
      </c>
      <c r="B35" s="111">
        <f>(1728925*60)/(4558.204*2000)</f>
        <v>11.378988303287874</v>
      </c>
      <c r="C35" s="110">
        <v>32.9</v>
      </c>
      <c r="D35" s="111">
        <f t="shared" si="7"/>
        <v>3.7436871517817103</v>
      </c>
      <c r="E35" s="112">
        <f>(3357286*60)/4558204</f>
        <v>44.192221322257623</v>
      </c>
      <c r="F35" s="110">
        <v>198.66</v>
      </c>
      <c r="G35" s="112">
        <f t="shared" si="8"/>
        <v>4.3896133439398497</v>
      </c>
      <c r="H35" s="117">
        <f>(265703*60)/4558204</f>
        <v>3.4974696174194926</v>
      </c>
      <c r="I35" s="117">
        <v>80.45</v>
      </c>
      <c r="J35" s="117">
        <f t="shared" si="9"/>
        <v>0.1406857153606991</v>
      </c>
      <c r="K35" s="110">
        <f t="shared" si="10"/>
        <v>8.27398621108226</v>
      </c>
      <c r="L35" s="110">
        <f t="shared" si="11"/>
        <v>0.45246475595612889</v>
      </c>
      <c r="M35" s="111">
        <f t="shared" si="12"/>
        <v>0.54753524404387099</v>
      </c>
      <c r="N35" s="111">
        <v>7.49</v>
      </c>
      <c r="O35" s="116">
        <f t="shared" si="13"/>
        <v>0.78398621108225974</v>
      </c>
    </row>
    <row r="36" spans="1:15" x14ac:dyDescent="0.2">
      <c r="A36" t="s">
        <v>191</v>
      </c>
      <c r="B36" s="111">
        <f>(1692493*60)/(4460.636*2000)</f>
        <v>11.382858856898434</v>
      </c>
      <c r="C36" s="110">
        <v>34.01</v>
      </c>
      <c r="D36" s="111">
        <f t="shared" si="7"/>
        <v>3.8713102972311573</v>
      </c>
      <c r="E36" s="112">
        <f>(3266582*60)/4460636</f>
        <v>43.938783617403438</v>
      </c>
      <c r="F36" s="110">
        <v>229.7</v>
      </c>
      <c r="G36" s="112">
        <f t="shared" si="8"/>
        <v>5.0463692984587842</v>
      </c>
      <c r="H36" s="117">
        <f>(261641*60)/4460636</f>
        <v>3.519332220786453</v>
      </c>
      <c r="I36" s="117">
        <v>77.5</v>
      </c>
      <c r="J36" s="117">
        <f t="shared" si="9"/>
        <v>0.13637412355547504</v>
      </c>
      <c r="K36" s="110">
        <f t="shared" si="10"/>
        <v>9.0540537192454167</v>
      </c>
      <c r="L36" s="110">
        <f t="shared" si="11"/>
        <v>0.42757757102790861</v>
      </c>
      <c r="M36" s="111">
        <f t="shared" si="12"/>
        <v>0.57242242897209139</v>
      </c>
      <c r="N36" s="111">
        <v>7.92</v>
      </c>
      <c r="O36" s="116">
        <f t="shared" si="13"/>
        <v>1.1340537192454168</v>
      </c>
    </row>
    <row r="37" spans="1:15" x14ac:dyDescent="0.2">
      <c r="A37" t="s">
        <v>192</v>
      </c>
      <c r="B37" s="111">
        <f>(1709725*60)/(4506.259*2000)</f>
        <v>11.382335103241957</v>
      </c>
      <c r="C37" s="110">
        <v>35.74</v>
      </c>
      <c r="D37" s="111">
        <f t="shared" si="7"/>
        <v>4.0680465658986753</v>
      </c>
      <c r="E37" s="112">
        <f>(3302134*60)/4506259</f>
        <v>43.96729970469962</v>
      </c>
      <c r="F37" s="110">
        <v>222.05</v>
      </c>
      <c r="G37" s="112">
        <f t="shared" si="8"/>
        <v>4.8814694497142757</v>
      </c>
      <c r="H37" s="117">
        <f>(265876*60)/4506259</f>
        <v>3.5400894622346386</v>
      </c>
      <c r="I37" s="117">
        <v>90.24</v>
      </c>
      <c r="J37" s="117">
        <f t="shared" si="9"/>
        <v>0.15972883653602687</v>
      </c>
      <c r="K37" s="110">
        <f t="shared" si="10"/>
        <v>9.1092448521489775</v>
      </c>
      <c r="L37" s="110">
        <f t="shared" si="11"/>
        <v>0.44658439112425169</v>
      </c>
      <c r="M37" s="111">
        <f t="shared" si="12"/>
        <v>0.55341560887574826</v>
      </c>
      <c r="N37" s="111">
        <v>8.01</v>
      </c>
      <c r="O37" s="116">
        <f t="shared" si="13"/>
        <v>1.0992448521489777</v>
      </c>
    </row>
    <row r="38" spans="1:15" x14ac:dyDescent="0.2">
      <c r="A38" t="s">
        <v>193</v>
      </c>
      <c r="B38" s="111">
        <f>(1662936*60)/(4387.531*2000)</f>
        <v>11.370422226076579</v>
      </c>
      <c r="C38" s="110">
        <v>34.869999999999997</v>
      </c>
      <c r="D38" s="111">
        <f t="shared" si="7"/>
        <v>3.9648662302329027</v>
      </c>
      <c r="E38" s="112">
        <f>(3215612*60)/4387531</f>
        <v>43.973870498009013</v>
      </c>
      <c r="F38" s="110">
        <v>217.63</v>
      </c>
      <c r="G38" s="112">
        <f t="shared" si="8"/>
        <v>4.7850167182408505</v>
      </c>
      <c r="H38" s="117">
        <f>(258299*60)/4387531</f>
        <v>3.5322690597513726</v>
      </c>
      <c r="I38" s="117">
        <v>95.91</v>
      </c>
      <c r="J38" s="117">
        <f t="shared" si="9"/>
        <v>0.16938996276037707</v>
      </c>
      <c r="K38" s="110">
        <f t="shared" si="10"/>
        <v>8.9192729112341311</v>
      </c>
      <c r="L38" s="110">
        <f t="shared" si="11"/>
        <v>0.44452796429617231</v>
      </c>
      <c r="M38" s="111">
        <f t="shared" si="12"/>
        <v>0.55547203570382764</v>
      </c>
      <c r="N38" s="111">
        <v>8.0399999999999991</v>
      </c>
      <c r="O38" s="116">
        <f t="shared" si="13"/>
        <v>0.87927291123413198</v>
      </c>
    </row>
    <row r="39" spans="1:15" x14ac:dyDescent="0.2">
      <c r="A39" s="21" t="s">
        <v>237</v>
      </c>
      <c r="B39" s="111">
        <f>(20487823*60)/(54184.483*2000)</f>
        <v>11.343370942563022</v>
      </c>
      <c r="C39" s="110">
        <f>AVERAGE(C27:C38)</f>
        <v>29.905833333333337</v>
      </c>
      <c r="D39" s="111">
        <f t="shared" si="7"/>
        <v>3.3923296084646601</v>
      </c>
      <c r="E39" s="112">
        <f>(39758166*60)/54184483</f>
        <v>44.025333968767406</v>
      </c>
      <c r="F39" s="110">
        <f>AVERAGE(F27:F38)</f>
        <v>198.31000000000003</v>
      </c>
      <c r="G39" s="112">
        <f t="shared" si="8"/>
        <v>4.3653319896731331</v>
      </c>
      <c r="H39" s="117">
        <f>(3118614*60)/54184483</f>
        <v>3.4533288801519064</v>
      </c>
      <c r="I39" s="117">
        <f>AVERAGE(I27:I38)</f>
        <v>96.722500000000011</v>
      </c>
      <c r="J39" s="118">
        <f t="shared" si="9"/>
        <v>0.16700730130524641</v>
      </c>
      <c r="K39" s="110">
        <f t="shared" si="10"/>
        <v>7.9246688994430396</v>
      </c>
      <c r="L39" s="110">
        <f t="shared" si="11"/>
        <v>0.42807209380105199</v>
      </c>
      <c r="M39" s="111">
        <f t="shared" si="12"/>
        <v>0.57192790619894807</v>
      </c>
      <c r="N39" s="111">
        <f>AVERAGE(N27:N38)</f>
        <v>7.0374999999999988</v>
      </c>
      <c r="O39" s="116">
        <f t="shared" si="13"/>
        <v>0.88716889944304089</v>
      </c>
    </row>
    <row r="40" spans="1:15" x14ac:dyDescent="0.2">
      <c r="A40" t="s">
        <v>35</v>
      </c>
      <c r="B40" s="111"/>
      <c r="C40" s="110"/>
      <c r="D40" s="111"/>
      <c r="E40" s="115"/>
      <c r="F40" s="110"/>
      <c r="G40" s="112"/>
      <c r="H40" s="117"/>
      <c r="I40" s="117"/>
      <c r="J40" s="118"/>
      <c r="K40" s="111"/>
      <c r="L40" s="111"/>
      <c r="M40" s="111"/>
      <c r="N40" s="111"/>
      <c r="O40" s="116"/>
    </row>
    <row r="41" spans="1:15" x14ac:dyDescent="0.2">
      <c r="A41" t="s">
        <v>172</v>
      </c>
      <c r="B41" s="111">
        <f>(1678000*60)/(4420.104*2000)</f>
        <v>11.388872298027376</v>
      </c>
      <c r="C41" s="110">
        <v>36.89</v>
      </c>
      <c r="D41" s="111">
        <f t="shared" ref="D41:D53" si="14">(B41*C41)/100</f>
        <v>4.2013549907422991</v>
      </c>
      <c r="E41" s="112">
        <f>(3228802*60)/4420104</f>
        <v>43.828860135417628</v>
      </c>
      <c r="F41" s="110">
        <v>254.41</v>
      </c>
      <c r="G41" s="112">
        <f t="shared" ref="G41:G53" si="15">E41*F41/2000</f>
        <v>5.5752501535257988</v>
      </c>
      <c r="H41" s="117">
        <f>(261418*60)/4420104</f>
        <v>3.5485771375515145</v>
      </c>
      <c r="I41" s="117">
        <v>108.16</v>
      </c>
      <c r="J41" s="117">
        <f t="shared" ref="J41:J67" si="16">H41*I41/2000</f>
        <v>0.1919070515987859</v>
      </c>
      <c r="K41" s="110">
        <f t="shared" ref="K41:K53" si="17">D41+G41+J41</f>
        <v>9.9685121958668841</v>
      </c>
      <c r="L41" s="110">
        <f t="shared" ref="L41:L53" si="18">D41/K41</f>
        <v>0.42146259222958599</v>
      </c>
      <c r="M41" s="111">
        <f t="shared" ref="M41:M53" si="19">(+G41+J41)/K41</f>
        <v>0.57853740777041407</v>
      </c>
      <c r="N41" s="111">
        <v>9.07</v>
      </c>
      <c r="O41" s="116">
        <f t="shared" ref="O41:O53" si="20">K41-N41</f>
        <v>0.8985121958668838</v>
      </c>
    </row>
    <row r="42" spans="1:15" x14ac:dyDescent="0.2">
      <c r="A42" t="s">
        <v>173</v>
      </c>
      <c r="B42" s="111">
        <f>(1868608.08*60)/(4912.37913*2000)</f>
        <v>11.411627831746774</v>
      </c>
      <c r="C42" s="110">
        <v>38.1</v>
      </c>
      <c r="D42" s="111">
        <f t="shared" si="14"/>
        <v>4.347830203895521</v>
      </c>
      <c r="E42" s="112">
        <f>(3587555.09*60)/4912379.13</f>
        <v>43.818544884991397</v>
      </c>
      <c r="F42" s="110">
        <v>260.55</v>
      </c>
      <c r="G42" s="112">
        <f t="shared" si="15"/>
        <v>5.7084609348922539</v>
      </c>
      <c r="H42" s="117">
        <f>(281923.17*60)/4912379.13</f>
        <v>3.4434211514126352</v>
      </c>
      <c r="I42" s="117">
        <v>122.07</v>
      </c>
      <c r="J42" s="117">
        <f t="shared" si="16"/>
        <v>0.21016920997647018</v>
      </c>
      <c r="K42" s="110">
        <f t="shared" si="17"/>
        <v>10.266460348764245</v>
      </c>
      <c r="L42" s="110">
        <f t="shared" si="18"/>
        <v>0.42349846550752629</v>
      </c>
      <c r="M42" s="111">
        <f t="shared" si="19"/>
        <v>0.57650153449247377</v>
      </c>
      <c r="N42" s="111">
        <v>9.44</v>
      </c>
      <c r="O42" s="116">
        <f t="shared" si="20"/>
        <v>0.82646034876424501</v>
      </c>
    </row>
    <row r="43" spans="1:15" x14ac:dyDescent="0.2">
      <c r="A43" t="s">
        <v>174</v>
      </c>
      <c r="B43" s="111">
        <f>(1805433.7*60)/(4688.4612*2000)</f>
        <v>11.552406789673336</v>
      </c>
      <c r="C43" s="110">
        <v>42.68</v>
      </c>
      <c r="D43" s="111">
        <f t="shared" si="14"/>
        <v>4.9305672178325795</v>
      </c>
      <c r="E43" s="112">
        <f>(3434182.7*60)/4688461.2</f>
        <v>43.948526650919071</v>
      </c>
      <c r="F43" s="110">
        <v>280.76</v>
      </c>
      <c r="G43" s="112">
        <f t="shared" si="15"/>
        <v>6.1694941712560194</v>
      </c>
      <c r="H43" s="117">
        <f>(275259.8*60)/4688461.2</f>
        <v>3.522603109096861</v>
      </c>
      <c r="I43" s="117">
        <v>126.25</v>
      </c>
      <c r="J43" s="117">
        <f t="shared" si="16"/>
        <v>0.22236432126173936</v>
      </c>
      <c r="K43" s="110">
        <f t="shared" si="17"/>
        <v>11.322425710350338</v>
      </c>
      <c r="L43" s="110">
        <f t="shared" si="18"/>
        <v>0.43546916040485267</v>
      </c>
      <c r="M43" s="111">
        <f t="shared" si="19"/>
        <v>0.56453083959514738</v>
      </c>
      <c r="N43" s="111">
        <v>10.32</v>
      </c>
      <c r="O43" s="116">
        <f t="shared" si="20"/>
        <v>1.0024257103503373</v>
      </c>
    </row>
    <row r="44" spans="1:15" x14ac:dyDescent="0.2">
      <c r="A44" t="s">
        <v>175</v>
      </c>
      <c r="B44" s="111">
        <f>(1879439.8*60)/(4921.75985*2000)</f>
        <v>11.455901083836912</v>
      </c>
      <c r="C44" s="110">
        <v>45.16</v>
      </c>
      <c r="D44" s="111">
        <f t="shared" si="14"/>
        <v>5.1734849294607486</v>
      </c>
      <c r="E44" s="112">
        <f>(3604532.75*60)/4921759.85</f>
        <v>43.941998714138812</v>
      </c>
      <c r="F44" s="110">
        <v>314.77999999999997</v>
      </c>
      <c r="G44" s="112">
        <f t="shared" si="15"/>
        <v>6.916031177618307</v>
      </c>
      <c r="H44" s="117">
        <f>(283007.2*60)/4921759.85</f>
        <v>3.4500732497137179</v>
      </c>
      <c r="I44" s="117">
        <v>135.79</v>
      </c>
      <c r="J44" s="117">
        <f t="shared" si="16"/>
        <v>0.23424272328931287</v>
      </c>
      <c r="K44" s="110">
        <f t="shared" si="17"/>
        <v>12.323758830368369</v>
      </c>
      <c r="L44" s="110">
        <f t="shared" si="18"/>
        <v>0.41979764458812507</v>
      </c>
      <c r="M44" s="111">
        <f t="shared" si="19"/>
        <v>0.58020235541187481</v>
      </c>
      <c r="N44" s="111">
        <v>11.23</v>
      </c>
      <c r="O44" s="116">
        <f t="shared" si="20"/>
        <v>1.093758830368369</v>
      </c>
    </row>
    <row r="45" spans="1:15" x14ac:dyDescent="0.2">
      <c r="A45" t="s">
        <v>176</v>
      </c>
      <c r="B45" s="111">
        <f>(1845226.93*60)/(4814.018*2000)</f>
        <v>11.499086189540629</v>
      </c>
      <c r="C45" s="110">
        <v>49.77</v>
      </c>
      <c r="D45" s="111">
        <f t="shared" si="14"/>
        <v>5.7230951965343717</v>
      </c>
      <c r="E45" s="112">
        <f>(3515103.39*60)/4814018</f>
        <v>43.810846448850008</v>
      </c>
      <c r="F45" s="110">
        <v>331.28</v>
      </c>
      <c r="G45" s="112">
        <f t="shared" si="15"/>
        <v>7.2568286057875149</v>
      </c>
      <c r="H45" s="117">
        <f>(276075.02*60)/4814018</f>
        <v>3.4408889206479913</v>
      </c>
      <c r="I45" s="117">
        <v>136.6</v>
      </c>
      <c r="J45" s="117">
        <f t="shared" si="16"/>
        <v>0.2350127132802578</v>
      </c>
      <c r="K45" s="110">
        <f t="shared" si="17"/>
        <v>13.214936515602144</v>
      </c>
      <c r="L45" s="110">
        <f t="shared" si="18"/>
        <v>0.4330777669478344</v>
      </c>
      <c r="M45" s="111">
        <f t="shared" si="19"/>
        <v>0.56692223305216571</v>
      </c>
      <c r="N45" s="111">
        <v>12.16</v>
      </c>
      <c r="O45" s="116">
        <f t="shared" si="20"/>
        <v>1.0549365156021437</v>
      </c>
    </row>
    <row r="46" spans="1:15" x14ac:dyDescent="0.2">
      <c r="A46" t="s">
        <v>177</v>
      </c>
      <c r="B46" s="111">
        <f>(1687694.5*60)/(4395.339*2000)</f>
        <v>11.519210463629769</v>
      </c>
      <c r="C46" s="110">
        <v>56.68</v>
      </c>
      <c r="D46" s="111">
        <f t="shared" si="14"/>
        <v>6.5290884907853526</v>
      </c>
      <c r="E46" s="112">
        <f>(3223901.3*60)/4395339</f>
        <v>44.008909892957064</v>
      </c>
      <c r="F46" s="110">
        <v>345.87</v>
      </c>
      <c r="G46" s="112">
        <f t="shared" si="15"/>
        <v>7.61068083233853</v>
      </c>
      <c r="H46" s="117">
        <f>(249761.85*60)/4395339</f>
        <v>3.4094551068757153</v>
      </c>
      <c r="I46" s="117">
        <v>139.94999999999999</v>
      </c>
      <c r="J46" s="117">
        <f t="shared" si="16"/>
        <v>0.23857662110362815</v>
      </c>
      <c r="K46" s="110">
        <f t="shared" si="17"/>
        <v>14.37834594422751</v>
      </c>
      <c r="L46" s="110">
        <f t="shared" si="18"/>
        <v>0.45409176522189554</v>
      </c>
      <c r="M46" s="111">
        <f t="shared" si="19"/>
        <v>0.54590823477810446</v>
      </c>
      <c r="N46" s="111">
        <v>13.35</v>
      </c>
      <c r="O46" s="116">
        <f t="shared" si="20"/>
        <v>1.0283459442275102</v>
      </c>
    </row>
    <row r="47" spans="1:15" x14ac:dyDescent="0.2">
      <c r="A47" t="s">
        <v>178</v>
      </c>
      <c r="B47" s="111">
        <f>(1827761.46*60)/(4678.746*2000)</f>
        <v>11.719559856423066</v>
      </c>
      <c r="C47" s="110">
        <v>57.27</v>
      </c>
      <c r="D47" s="111">
        <f t="shared" si="14"/>
        <v>6.71179192977349</v>
      </c>
      <c r="E47" s="112">
        <f>(3428232.47*60)/4678746</f>
        <v>43.963478290977974</v>
      </c>
      <c r="F47" s="110">
        <v>331.57</v>
      </c>
      <c r="G47" s="112">
        <f t="shared" si="15"/>
        <v>7.2884852484697831</v>
      </c>
      <c r="H47" s="117">
        <f>(272873.47*60)/4678746</f>
        <v>3.4993154576033834</v>
      </c>
      <c r="I47" s="117">
        <v>149.93</v>
      </c>
      <c r="J47" s="117">
        <f t="shared" si="16"/>
        <v>0.26232618327923762</v>
      </c>
      <c r="K47" s="110">
        <f t="shared" si="17"/>
        <v>14.26260336152251</v>
      </c>
      <c r="L47" s="110">
        <f t="shared" si="18"/>
        <v>0.47058673368709714</v>
      </c>
      <c r="M47" s="111">
        <f t="shared" si="19"/>
        <v>0.52941326631290286</v>
      </c>
      <c r="N47" s="111">
        <v>13.12</v>
      </c>
      <c r="O47" s="116">
        <f t="shared" si="20"/>
        <v>1.1426033615225109</v>
      </c>
    </row>
    <row r="48" spans="1:15" x14ac:dyDescent="0.2">
      <c r="A48" t="s">
        <v>179</v>
      </c>
      <c r="B48" s="111">
        <f>(1707011.36*60)/(4423.512*2000)</f>
        <v>11.576851334414828</v>
      </c>
      <c r="C48" s="110">
        <v>56.58</v>
      </c>
      <c r="D48" s="111">
        <f t="shared" si="14"/>
        <v>6.5501824850119093</v>
      </c>
      <c r="E48" s="112">
        <f>(3245843.7*60)/4423512</f>
        <v>44.026244757559155</v>
      </c>
      <c r="F48" s="110">
        <v>329.94</v>
      </c>
      <c r="G48" s="112">
        <f t="shared" si="15"/>
        <v>7.2630095976545332</v>
      </c>
      <c r="H48" s="117">
        <f>(254800.26*60)/4423512</f>
        <v>3.4560809601059073</v>
      </c>
      <c r="I48" s="117">
        <v>141.11000000000001</v>
      </c>
      <c r="J48" s="117">
        <f t="shared" si="16"/>
        <v>0.24384379214027233</v>
      </c>
      <c r="K48" s="110">
        <f t="shared" si="17"/>
        <v>14.057035874806715</v>
      </c>
      <c r="L48" s="110">
        <f t="shared" si="18"/>
        <v>0.46597181250360681</v>
      </c>
      <c r="M48" s="111">
        <f t="shared" si="19"/>
        <v>0.53402818749639314</v>
      </c>
      <c r="N48" s="111">
        <v>12.92</v>
      </c>
      <c r="O48" s="116">
        <f t="shared" si="20"/>
        <v>1.1370358748067151</v>
      </c>
    </row>
    <row r="49" spans="1:15" x14ac:dyDescent="0.2">
      <c r="A49" t="s">
        <v>180</v>
      </c>
      <c r="B49" s="111">
        <f>(1756417.8*60)/(4578.147*2000)</f>
        <v>11.509576691180952</v>
      </c>
      <c r="C49" s="110">
        <v>58.27</v>
      </c>
      <c r="D49" s="111">
        <f t="shared" si="14"/>
        <v>6.7066303379511405</v>
      </c>
      <c r="E49" s="112">
        <f>(3366876.6*60)/4578147</f>
        <v>44.125406196000263</v>
      </c>
      <c r="F49" s="110">
        <v>325.48</v>
      </c>
      <c r="G49" s="112">
        <f t="shared" si="15"/>
        <v>7.1809686043370826</v>
      </c>
      <c r="H49" s="117">
        <f>(266890.9*60)/4578147</f>
        <v>3.4978024952016615</v>
      </c>
      <c r="I49" s="117">
        <v>111.43</v>
      </c>
      <c r="J49" s="117">
        <f t="shared" si="16"/>
        <v>0.19488006602016059</v>
      </c>
      <c r="K49" s="110">
        <f t="shared" si="17"/>
        <v>14.082479008308384</v>
      </c>
      <c r="L49" s="110">
        <f t="shared" si="18"/>
        <v>0.47623932789066192</v>
      </c>
      <c r="M49" s="111">
        <f t="shared" si="19"/>
        <v>0.52376067210933797</v>
      </c>
      <c r="N49" s="111">
        <v>13.24</v>
      </c>
      <c r="O49" s="116">
        <f t="shared" si="20"/>
        <v>0.84247900830838418</v>
      </c>
    </row>
    <row r="50" spans="1:15" x14ac:dyDescent="0.2">
      <c r="A50" t="s">
        <v>191</v>
      </c>
      <c r="B50" s="111">
        <f>(1632790.52*60)/(4231.453*2000)</f>
        <v>11.576098233869075</v>
      </c>
      <c r="C50" s="110">
        <v>62.43</v>
      </c>
      <c r="D50" s="111">
        <f t="shared" si="14"/>
        <v>7.2269581274044636</v>
      </c>
      <c r="E50" s="112">
        <f>(3098019.28*60)/4231453</f>
        <v>43.92844651707108</v>
      </c>
      <c r="F50" s="110">
        <v>390.72</v>
      </c>
      <c r="G50" s="112">
        <f t="shared" si="15"/>
        <v>8.5818613115750075</v>
      </c>
      <c r="H50" s="117">
        <f>(254251.66*60)/4231453</f>
        <v>3.6051681538232847</v>
      </c>
      <c r="I50" s="117">
        <v>125.48</v>
      </c>
      <c r="J50" s="117">
        <f t="shared" si="16"/>
        <v>0.22618824997087289</v>
      </c>
      <c r="K50" s="110">
        <f t="shared" si="17"/>
        <v>16.035007688950344</v>
      </c>
      <c r="L50" s="110">
        <f t="shared" si="18"/>
        <v>0.45069876283155946</v>
      </c>
      <c r="M50" s="111">
        <f t="shared" si="19"/>
        <v>0.54930123716844048</v>
      </c>
      <c r="N50" s="111">
        <v>14.99</v>
      </c>
      <c r="O50" s="116">
        <f t="shared" si="20"/>
        <v>1.0450076889503439</v>
      </c>
    </row>
    <row r="51" spans="1:15" x14ac:dyDescent="0.2">
      <c r="A51" t="s">
        <v>192</v>
      </c>
      <c r="B51" s="111">
        <f>(1616379.28*60)/(4179.457*2000)</f>
        <v>11.602315420400304</v>
      </c>
      <c r="C51" s="110">
        <v>60.54</v>
      </c>
      <c r="D51" s="111">
        <f t="shared" si="14"/>
        <v>7.0240417555103445</v>
      </c>
      <c r="E51" s="112">
        <f>(3072369.6*60)/4179457</f>
        <v>44.106728697053228</v>
      </c>
      <c r="F51" s="110">
        <v>412.25</v>
      </c>
      <c r="G51" s="112">
        <f t="shared" si="15"/>
        <v>9.0914994526800967</v>
      </c>
      <c r="H51" s="117">
        <f>(243909.6*60)/4179457</f>
        <v>3.5015496032140061</v>
      </c>
      <c r="I51" s="117">
        <v>152.02000000000001</v>
      </c>
      <c r="J51" s="117">
        <f t="shared" si="16"/>
        <v>0.26615278534029663</v>
      </c>
      <c r="K51" s="110">
        <f t="shared" si="17"/>
        <v>16.381693993530739</v>
      </c>
      <c r="L51" s="110">
        <f t="shared" si="18"/>
        <v>0.42877383488448717</v>
      </c>
      <c r="M51" s="111">
        <f t="shared" si="19"/>
        <v>0.57122616511551272</v>
      </c>
      <c r="N51" s="111">
        <v>15.16</v>
      </c>
      <c r="O51" s="116">
        <f t="shared" si="20"/>
        <v>1.2216939935307387</v>
      </c>
    </row>
    <row r="52" spans="1:15" x14ac:dyDescent="0.2">
      <c r="A52" t="s">
        <v>193</v>
      </c>
      <c r="B52" s="111">
        <f>(1507544.65*60)/(3858.844*2000)</f>
        <v>11.720178245091017</v>
      </c>
      <c r="C52" s="110">
        <v>50.78</v>
      </c>
      <c r="D52" s="111">
        <f t="shared" si="14"/>
        <v>5.9515065128572182</v>
      </c>
      <c r="E52" s="112">
        <f>(2821738*60)/3858844</f>
        <v>43.874352008010689</v>
      </c>
      <c r="F52" s="110">
        <v>355.35</v>
      </c>
      <c r="G52" s="112">
        <f t="shared" si="15"/>
        <v>7.7953754930232995</v>
      </c>
      <c r="H52" s="117">
        <f>(230645.05*60)/3858844</f>
        <v>3.5862302285347631</v>
      </c>
      <c r="I52" s="117">
        <v>152.62</v>
      </c>
      <c r="J52" s="117">
        <f t="shared" si="16"/>
        <v>0.27366522873948773</v>
      </c>
      <c r="K52" s="110">
        <f t="shared" si="17"/>
        <v>14.020547234620006</v>
      </c>
      <c r="L52" s="110">
        <f t="shared" si="18"/>
        <v>0.42448460914289843</v>
      </c>
      <c r="M52" s="111">
        <f t="shared" si="19"/>
        <v>0.57551539085710157</v>
      </c>
      <c r="N52" s="111">
        <v>12.88</v>
      </c>
      <c r="O52" s="116">
        <f t="shared" si="20"/>
        <v>1.140547234620005</v>
      </c>
    </row>
    <row r="53" spans="1:15" x14ac:dyDescent="0.2">
      <c r="A53" s="21" t="s">
        <v>237</v>
      </c>
      <c r="B53" s="111">
        <f>(20812308.08*60)/(54102.22018*2000)</f>
        <v>11.540547510299973</v>
      </c>
      <c r="C53" s="110">
        <f>AVERAGE(C41:C52)</f>
        <v>51.262499999999996</v>
      </c>
      <c r="D53" s="111">
        <f t="shared" si="14"/>
        <v>5.9159731674675236</v>
      </c>
      <c r="E53" s="112">
        <f>(39627156.88*60)/54102220.18</f>
        <v>43.946984151288859</v>
      </c>
      <c r="F53" s="110">
        <f>AVERAGE(F41:F52)</f>
        <v>327.74666666666673</v>
      </c>
      <c r="G53" s="112">
        <f t="shared" si="15"/>
        <v>7.2017387828188779</v>
      </c>
      <c r="H53" s="117">
        <f>(3150815.98*60)/54102220.18</f>
        <v>3.4942920673315707</v>
      </c>
      <c r="I53" s="117">
        <f>AVERAGE(I41:I52)</f>
        <v>133.45083333333335</v>
      </c>
      <c r="J53" s="118">
        <f t="shared" si="16"/>
        <v>0.23315809414772712</v>
      </c>
      <c r="K53" s="110">
        <f t="shared" si="17"/>
        <v>13.35087004443413</v>
      </c>
      <c r="L53" s="110">
        <f t="shared" si="18"/>
        <v>0.4431151788443814</v>
      </c>
      <c r="M53" s="111">
        <f t="shared" si="19"/>
        <v>0.55688482115561855</v>
      </c>
      <c r="N53" s="111">
        <f>AVERAGE(N41:N52)</f>
        <v>12.323333333333332</v>
      </c>
      <c r="O53" s="116">
        <f t="shared" si="20"/>
        <v>1.0275367111007974</v>
      </c>
    </row>
    <row r="54" spans="1:15" x14ac:dyDescent="0.2">
      <c r="A54" t="s">
        <v>36</v>
      </c>
      <c r="B54" s="111"/>
      <c r="C54" s="110"/>
      <c r="D54" s="111"/>
      <c r="E54" s="115"/>
      <c r="F54" s="110"/>
      <c r="G54" s="112"/>
      <c r="H54" s="118"/>
      <c r="I54" s="118"/>
      <c r="J54" s="118"/>
      <c r="K54" s="111"/>
      <c r="L54" s="111"/>
      <c r="M54" s="111"/>
      <c r="N54" s="111"/>
      <c r="O54" s="116"/>
    </row>
    <row r="55" spans="1:15" x14ac:dyDescent="0.2">
      <c r="A55" t="s">
        <v>172</v>
      </c>
      <c r="B55" s="111">
        <f>(1445522.7*60)/(3770.688*2000)</f>
        <v>11.500734348744844</v>
      </c>
      <c r="C55" s="110">
        <v>46.09</v>
      </c>
      <c r="D55" s="111">
        <f t="shared" ref="D55:D67" si="21">(B55*C55)/100</f>
        <v>5.3006884613364988</v>
      </c>
      <c r="E55" s="112">
        <f>(2772830.3*60)/3770688</f>
        <v>44.121873249656296</v>
      </c>
      <c r="F55" s="110">
        <v>352.7</v>
      </c>
      <c r="G55" s="112">
        <f>E55*F55/2000</f>
        <v>7.7808923475768879</v>
      </c>
      <c r="H55" s="117">
        <f>(223493.3*60)/3770688</f>
        <v>3.5562735500789247</v>
      </c>
      <c r="I55" s="117">
        <v>152.62</v>
      </c>
      <c r="J55" s="117">
        <f t="shared" si="16"/>
        <v>0.27137923460652275</v>
      </c>
      <c r="K55" s="110">
        <f t="shared" ref="K55:K67" si="22">D55+G55+J55</f>
        <v>13.352960043519909</v>
      </c>
      <c r="L55" s="110">
        <f t="shared" ref="L55:L67" si="23">D55/K55</f>
        <v>0.3969672974427032</v>
      </c>
      <c r="M55" s="111">
        <f t="shared" ref="M55:M67" si="24">(+G55+J55)/K55</f>
        <v>0.6030327025572968</v>
      </c>
      <c r="N55" s="111">
        <v>11.4</v>
      </c>
      <c r="O55" s="116">
        <f t="shared" ref="O55:O67" si="25">K55-N55</f>
        <v>1.9529600435199086</v>
      </c>
    </row>
    <row r="56" spans="1:15" x14ac:dyDescent="0.2">
      <c r="A56" t="s">
        <v>173</v>
      </c>
      <c r="B56" s="111">
        <f>(1715917.39*60)/(4501.479*2000)</f>
        <v>11.435690736311331</v>
      </c>
      <c r="C56" s="110">
        <v>35.5</v>
      </c>
      <c r="D56" s="111">
        <f t="shared" si="21"/>
        <v>4.0596702113905225</v>
      </c>
      <c r="E56" s="112">
        <f>(3267431.29*60)/4501479</f>
        <v>43.551436627828323</v>
      </c>
      <c r="F56" s="110">
        <v>260.66000000000003</v>
      </c>
      <c r="G56" s="112">
        <f t="shared" ref="G56:G67" si="26">E56*F56/2000</f>
        <v>5.6760587357048662</v>
      </c>
      <c r="H56" s="117">
        <f>(252014.93*60)/4501479</f>
        <v>3.3590950440955072</v>
      </c>
      <c r="I56" s="117">
        <v>145.22</v>
      </c>
      <c r="J56" s="117">
        <f t="shared" si="16"/>
        <v>0.2439038911517748</v>
      </c>
      <c r="K56" s="110">
        <f t="shared" si="22"/>
        <v>9.9796328382471629</v>
      </c>
      <c r="L56" s="110">
        <f t="shared" si="23"/>
        <v>0.40679554821212932</v>
      </c>
      <c r="M56" s="111">
        <f t="shared" si="24"/>
        <v>0.59320445178787073</v>
      </c>
      <c r="N56" s="111">
        <v>9.0299999999999994</v>
      </c>
      <c r="O56" s="116">
        <f t="shared" si="25"/>
        <v>0.94963283824716349</v>
      </c>
    </row>
    <row r="57" spans="1:15" x14ac:dyDescent="0.2">
      <c r="A57" t="s">
        <v>174</v>
      </c>
      <c r="B57" s="111">
        <f>(1622851*60)/(4340.495*2000)</f>
        <v>11.216584744366713</v>
      </c>
      <c r="C57" s="110">
        <v>31.55</v>
      </c>
      <c r="D57" s="111">
        <f t="shared" si="21"/>
        <v>3.5388324868476979</v>
      </c>
      <c r="E57" s="112">
        <f>(3158033*60)/4340495</f>
        <v>43.654463373417087</v>
      </c>
      <c r="F57" s="110">
        <v>267.37</v>
      </c>
      <c r="G57" s="112">
        <f t="shared" si="26"/>
        <v>5.8359469360752634</v>
      </c>
      <c r="H57" s="117">
        <f>(255442*60)/4340495</f>
        <v>3.531053485835141</v>
      </c>
      <c r="I57" s="117">
        <v>131.11000000000001</v>
      </c>
      <c r="J57" s="117">
        <f t="shared" si="16"/>
        <v>0.23147821126392271</v>
      </c>
      <c r="K57" s="110">
        <f t="shared" si="22"/>
        <v>9.6062576341868837</v>
      </c>
      <c r="L57" s="110">
        <f t="shared" si="23"/>
        <v>0.36838825499054401</v>
      </c>
      <c r="M57" s="111">
        <f t="shared" si="24"/>
        <v>0.63161174500945605</v>
      </c>
      <c r="N57" s="111">
        <v>8.93</v>
      </c>
      <c r="O57" s="116">
        <f t="shared" si="25"/>
        <v>0.676257634186884</v>
      </c>
    </row>
    <row r="58" spans="1:15" x14ac:dyDescent="0.2">
      <c r="A58" t="s">
        <v>175</v>
      </c>
      <c r="B58" s="111">
        <f>(1596985.45*60)/(4240.383*2000)</f>
        <v>11.29840476673923</v>
      </c>
      <c r="C58" s="110">
        <v>29.3</v>
      </c>
      <c r="D58" s="111">
        <f t="shared" si="21"/>
        <v>3.3104325966545947</v>
      </c>
      <c r="E58" s="112">
        <f>(3101798.75*60)/4240383</f>
        <v>43.889413998688326</v>
      </c>
      <c r="F58" s="110">
        <v>268.24</v>
      </c>
      <c r="G58" s="112">
        <f t="shared" si="26"/>
        <v>5.8864482055040792</v>
      </c>
      <c r="H58" s="117">
        <f>(244153.55*60)/4240383</f>
        <v>3.4546910031475933</v>
      </c>
      <c r="I58" s="117">
        <v>119.88</v>
      </c>
      <c r="J58" s="117">
        <f t="shared" si="16"/>
        <v>0.20707417872866674</v>
      </c>
      <c r="K58" s="110">
        <f t="shared" si="22"/>
        <v>9.4039549808873399</v>
      </c>
      <c r="L58" s="110">
        <f t="shared" si="23"/>
        <v>0.35202556832553322</v>
      </c>
      <c r="M58" s="111">
        <f t="shared" si="24"/>
        <v>0.64797443167446689</v>
      </c>
      <c r="N58" s="111">
        <v>8.68</v>
      </c>
      <c r="O58" s="116">
        <f t="shared" si="25"/>
        <v>0.72395498088734023</v>
      </c>
    </row>
    <row r="59" spans="1:15" x14ac:dyDescent="0.2">
      <c r="A59" t="s">
        <v>176</v>
      </c>
      <c r="B59" s="111">
        <f>(1615580*60)/(4357.003*2000)</f>
        <v>11.124022636661026</v>
      </c>
      <c r="C59" s="110">
        <v>32.159999999999997</v>
      </c>
      <c r="D59" s="111">
        <f t="shared" si="21"/>
        <v>3.5774856799501857</v>
      </c>
      <c r="E59" s="112">
        <f>(3185208*60)/4357003</f>
        <v>43.863288595394586</v>
      </c>
      <c r="F59" s="110">
        <v>306.85000000000002</v>
      </c>
      <c r="G59" s="112">
        <f t="shared" si="26"/>
        <v>6.7297250527484147</v>
      </c>
      <c r="H59" s="117">
        <f>(254614*60)/4357003</f>
        <v>3.506272545600726</v>
      </c>
      <c r="I59" s="117">
        <v>111.38</v>
      </c>
      <c r="J59" s="117">
        <f t="shared" si="16"/>
        <v>0.19526431806450442</v>
      </c>
      <c r="K59" s="110">
        <f t="shared" si="22"/>
        <v>10.502475050763104</v>
      </c>
      <c r="L59" s="110">
        <f t="shared" si="23"/>
        <v>0.34063262827653634</v>
      </c>
      <c r="M59" s="111">
        <f t="shared" si="24"/>
        <v>0.65936737172346371</v>
      </c>
      <c r="N59" s="111">
        <v>9.91</v>
      </c>
      <c r="O59" s="116">
        <f t="shared" si="25"/>
        <v>0.59247505076310425</v>
      </c>
    </row>
    <row r="60" spans="1:15" x14ac:dyDescent="0.2">
      <c r="A60" t="s">
        <v>177</v>
      </c>
      <c r="B60" s="111">
        <f>(1536526*60)/(4062.132*2000)</f>
        <v>11.347681463822447</v>
      </c>
      <c r="C60" s="110">
        <v>28.93</v>
      </c>
      <c r="D60" s="111">
        <f t="shared" si="21"/>
        <v>3.2828842474838336</v>
      </c>
      <c r="E60" s="112">
        <f>(2972827*60)/4062132</f>
        <v>43.910345601767744</v>
      </c>
      <c r="F60" s="110">
        <v>297.42</v>
      </c>
      <c r="G60" s="112">
        <f t="shared" si="26"/>
        <v>6.5299074944388815</v>
      </c>
      <c r="H60" s="117">
        <f>(230916*60)/4062132</f>
        <v>3.410760654749772</v>
      </c>
      <c r="I60" s="117">
        <v>101.05</v>
      </c>
      <c r="J60" s="117">
        <f t="shared" si="16"/>
        <v>0.17232868208123223</v>
      </c>
      <c r="K60" s="110">
        <f t="shared" si="22"/>
        <v>9.9851204240039486</v>
      </c>
      <c r="L60" s="110">
        <f t="shared" si="23"/>
        <v>0.32877763192438542</v>
      </c>
      <c r="M60" s="111">
        <f t="shared" si="24"/>
        <v>0.67122236807561453</v>
      </c>
      <c r="N60" s="111">
        <v>9.3800000000000008</v>
      </c>
      <c r="O60" s="116">
        <f t="shared" si="25"/>
        <v>0.60512042400394783</v>
      </c>
    </row>
    <row r="61" spans="1:15" x14ac:dyDescent="0.2">
      <c r="A61" t="s">
        <v>178</v>
      </c>
      <c r="B61" s="111">
        <f>(1636431*60)/(4332.515*2000)</f>
        <v>11.331277560493154</v>
      </c>
      <c r="C61" s="110">
        <v>28.23</v>
      </c>
      <c r="D61" s="111">
        <f t="shared" si="21"/>
        <v>3.1988196553272172</v>
      </c>
      <c r="E61" s="112">
        <f>(3171612*60)/4332515</f>
        <v>43.92292236726243</v>
      </c>
      <c r="F61" s="110">
        <v>292.22000000000003</v>
      </c>
      <c r="G61" s="112">
        <f t="shared" si="26"/>
        <v>6.4175781870807143</v>
      </c>
      <c r="H61" s="117">
        <f>(253799*60)/4332515</f>
        <v>3.514803757171066</v>
      </c>
      <c r="I61" s="117">
        <v>90.8</v>
      </c>
      <c r="J61" s="117">
        <f t="shared" si="16"/>
        <v>0.1595720905755664</v>
      </c>
      <c r="K61" s="110">
        <f t="shared" si="22"/>
        <v>9.7759699329834966</v>
      </c>
      <c r="L61" s="110">
        <f t="shared" si="23"/>
        <v>0.32721250957765374</v>
      </c>
      <c r="M61" s="111">
        <f t="shared" si="24"/>
        <v>0.67278749042234642</v>
      </c>
      <c r="N61" s="111">
        <v>9.17</v>
      </c>
      <c r="O61" s="116">
        <f t="shared" si="25"/>
        <v>0.60596993298349666</v>
      </c>
    </row>
    <row r="62" spans="1:15" x14ac:dyDescent="0.2">
      <c r="A62" t="s">
        <v>179</v>
      </c>
      <c r="B62" s="111">
        <f>(1595908*60)/(4208.212*2000)</f>
        <v>11.377097921872757</v>
      </c>
      <c r="C62" s="110">
        <v>32.76</v>
      </c>
      <c r="D62" s="111">
        <f t="shared" si="21"/>
        <v>3.7271372792055151</v>
      </c>
      <c r="E62" s="112">
        <f>(3091967*60)/4208212</f>
        <v>44.084760938850039</v>
      </c>
      <c r="F62" s="110">
        <v>324.27</v>
      </c>
      <c r="G62" s="112">
        <f t="shared" si="26"/>
        <v>7.1476827148204505</v>
      </c>
      <c r="H62" s="117">
        <f>(243220*60)/4208212</f>
        <v>3.4677910713623743</v>
      </c>
      <c r="I62" s="117">
        <v>81.67</v>
      </c>
      <c r="J62" s="117">
        <f t="shared" si="16"/>
        <v>0.14160724839908256</v>
      </c>
      <c r="K62" s="110">
        <f t="shared" si="22"/>
        <v>11.016427242425049</v>
      </c>
      <c r="L62" s="110">
        <f t="shared" si="23"/>
        <v>0.33832541142304673</v>
      </c>
      <c r="M62" s="111">
        <f t="shared" si="24"/>
        <v>0.66167458857695316</v>
      </c>
      <c r="N62" s="111">
        <v>10.25</v>
      </c>
      <c r="O62" s="116">
        <f t="shared" si="25"/>
        <v>0.76642724242504912</v>
      </c>
    </row>
    <row r="63" spans="1:15" x14ac:dyDescent="0.2">
      <c r="A63" t="s">
        <v>180</v>
      </c>
      <c r="B63" s="111">
        <f>(1684227*60)/(4387.378*2000)</f>
        <v>11.516402279447998</v>
      </c>
      <c r="C63" s="110">
        <v>36.06</v>
      </c>
      <c r="D63" s="111">
        <f t="shared" si="21"/>
        <v>4.1528146619689483</v>
      </c>
      <c r="E63" s="112">
        <f>(3246859*60)/4387378</f>
        <v>44.402725272360847</v>
      </c>
      <c r="F63" s="110">
        <v>380.37</v>
      </c>
      <c r="G63" s="112">
        <f t="shared" si="26"/>
        <v>8.4447323059239476</v>
      </c>
      <c r="H63" s="117">
        <f>(255913*60)/4387378</f>
        <v>3.4997622725919673</v>
      </c>
      <c r="I63" s="117">
        <v>87.63</v>
      </c>
      <c r="J63" s="117">
        <f t="shared" si="16"/>
        <v>0.15334208397361704</v>
      </c>
      <c r="K63" s="110">
        <f t="shared" si="22"/>
        <v>12.750889051866514</v>
      </c>
      <c r="L63" s="110">
        <f t="shared" si="23"/>
        <v>0.32568824378258132</v>
      </c>
      <c r="M63" s="111">
        <f t="shared" si="24"/>
        <v>0.67431175621741868</v>
      </c>
      <c r="N63" s="111">
        <v>11.66</v>
      </c>
      <c r="O63" s="116">
        <f t="shared" si="25"/>
        <v>1.0908890518665135</v>
      </c>
    </row>
    <row r="64" spans="1:15" x14ac:dyDescent="0.2">
      <c r="A64" t="s">
        <v>191</v>
      </c>
      <c r="B64" s="111">
        <f>(1604322*60)/(4202.869*2000)</f>
        <v>11.451620309840731</v>
      </c>
      <c r="C64" s="110">
        <v>35.659999999999997</v>
      </c>
      <c r="D64" s="111">
        <f t="shared" si="21"/>
        <v>4.0836478024892049</v>
      </c>
      <c r="E64" s="112">
        <f>(3082209*60)/4202869</f>
        <v>44.001499927787421</v>
      </c>
      <c r="F64" s="110">
        <v>418.47</v>
      </c>
      <c r="G64" s="112">
        <f t="shared" si="26"/>
        <v>9.2066538373906024</v>
      </c>
      <c r="H64" s="117">
        <f>(241001*60)/4202869</f>
        <v>3.4405212249061297</v>
      </c>
      <c r="I64" s="117">
        <v>82.61</v>
      </c>
      <c r="J64" s="117">
        <f t="shared" si="16"/>
        <v>0.14211072919474768</v>
      </c>
      <c r="K64" s="110">
        <f t="shared" si="22"/>
        <v>13.432412369074555</v>
      </c>
      <c r="L64" s="110">
        <f t="shared" si="23"/>
        <v>0.30401447560461947</v>
      </c>
      <c r="M64" s="111">
        <f t="shared" si="24"/>
        <v>0.69598552439538053</v>
      </c>
      <c r="N64" s="111">
        <v>12.37</v>
      </c>
      <c r="O64" s="116">
        <f t="shared" si="25"/>
        <v>1.0624123690745559</v>
      </c>
    </row>
    <row r="65" spans="1:15" x14ac:dyDescent="0.2">
      <c r="A65" t="s">
        <v>192</v>
      </c>
      <c r="B65" s="111">
        <f>(1469173*60)/(3863.629*2000)</f>
        <v>11.407717977062497</v>
      </c>
      <c r="C65" s="110">
        <v>31.08</v>
      </c>
      <c r="D65" s="111">
        <f t="shared" si="21"/>
        <v>3.5455187472710237</v>
      </c>
      <c r="E65" s="112">
        <f>(2836244*60)/3881091</f>
        <v>43.847114123322541</v>
      </c>
      <c r="F65" s="110">
        <v>373.18</v>
      </c>
      <c r="G65" s="112">
        <f t="shared" si="26"/>
        <v>8.1814330242707527</v>
      </c>
      <c r="H65" s="117">
        <f>(230471*60)/3881091</f>
        <v>3.5629826767782564</v>
      </c>
      <c r="I65" s="117">
        <v>84.66</v>
      </c>
      <c r="J65" s="117">
        <f t="shared" si="16"/>
        <v>0.15082105670802357</v>
      </c>
      <c r="K65" s="110">
        <f t="shared" si="22"/>
        <v>11.8777728282498</v>
      </c>
      <c r="L65" s="110">
        <f t="shared" si="23"/>
        <v>0.29850029955434493</v>
      </c>
      <c r="M65" s="111">
        <f t="shared" si="24"/>
        <v>0.70149970044565513</v>
      </c>
      <c r="N65" s="111">
        <v>10.96</v>
      </c>
      <c r="O65" s="116">
        <f t="shared" si="25"/>
        <v>0.91777282824979878</v>
      </c>
    </row>
    <row r="66" spans="1:15" x14ac:dyDescent="0.2">
      <c r="A66" t="s">
        <v>193</v>
      </c>
      <c r="B66" s="111">
        <f>(1368606*60)/(3592.845*2000)</f>
        <v>11.427762678323168</v>
      </c>
      <c r="C66" s="110">
        <v>33.69</v>
      </c>
      <c r="D66" s="111">
        <f>(B66*C66)/100</f>
        <v>3.8500132463270749</v>
      </c>
      <c r="E66" s="112">
        <f>(2629112*60)/3592845</f>
        <v>43.905796103088221</v>
      </c>
      <c r="F66" s="110">
        <v>405.27</v>
      </c>
      <c r="G66" s="112">
        <f>E66*F66/2000</f>
        <v>8.8968509933492808</v>
      </c>
      <c r="H66" s="117">
        <f>(215817*60)/3592845</f>
        <v>3.6041131749351836</v>
      </c>
      <c r="I66" s="117">
        <v>97.33</v>
      </c>
      <c r="J66" s="117">
        <f t="shared" si="16"/>
        <v>0.17539416765822072</v>
      </c>
      <c r="K66" s="110">
        <f t="shared" si="22"/>
        <v>12.922258407334576</v>
      </c>
      <c r="L66" s="110">
        <f t="shared" si="23"/>
        <v>0.29793656224532983</v>
      </c>
      <c r="M66" s="111">
        <f t="shared" si="24"/>
        <v>0.70206343775467017</v>
      </c>
      <c r="N66" s="111">
        <v>11.36</v>
      </c>
      <c r="O66" s="116">
        <f t="shared" si="25"/>
        <v>1.5622584073345767</v>
      </c>
    </row>
    <row r="67" spans="1:15" x14ac:dyDescent="0.2">
      <c r="A67" s="21" t="s">
        <v>237</v>
      </c>
      <c r="B67" s="111">
        <f>(18892049.54*60)/(49877.09*2000)</f>
        <v>11.363162650427279</v>
      </c>
      <c r="C67" s="110">
        <f>AVERAGE(C55:C66)</f>
        <v>33.417499999999997</v>
      </c>
      <c r="D67" s="111">
        <f t="shared" si="21"/>
        <v>3.7972848787065359</v>
      </c>
      <c r="E67" s="112">
        <f>(36516131.34*60)/49877090</f>
        <v>43.927339794683292</v>
      </c>
      <c r="F67" s="110">
        <f>AVERAGE(F55:F66)</f>
        <v>328.91833333333335</v>
      </c>
      <c r="G67" s="112">
        <f t="shared" si="26"/>
        <v>7.2242536965171196</v>
      </c>
      <c r="H67" s="117">
        <f>(2900854.78*60)/49877090</f>
        <v>3.4896038802584508</v>
      </c>
      <c r="I67" s="117">
        <f>AVERAGE(I55:I66)</f>
        <v>107.16333333333331</v>
      </c>
      <c r="J67" s="118">
        <f t="shared" si="16"/>
        <v>0.18697879191071484</v>
      </c>
      <c r="K67" s="110">
        <f t="shared" si="22"/>
        <v>11.20851736713437</v>
      </c>
      <c r="L67" s="110">
        <f t="shared" si="23"/>
        <v>0.33878565329621024</v>
      </c>
      <c r="M67" s="111">
        <f t="shared" si="24"/>
        <v>0.66121434670378976</v>
      </c>
      <c r="N67" s="111">
        <f>AVERAGE(N55:N66)</f>
        <v>10.258333333333335</v>
      </c>
      <c r="O67" s="116">
        <f t="shared" si="25"/>
        <v>0.950184033801035</v>
      </c>
    </row>
    <row r="68" spans="1:15" x14ac:dyDescent="0.2">
      <c r="A68" s="28" t="s">
        <v>37</v>
      </c>
      <c r="B68" s="111"/>
      <c r="C68" s="110"/>
      <c r="D68" s="111"/>
      <c r="E68" s="115"/>
      <c r="F68" s="110"/>
      <c r="G68" s="112"/>
      <c r="H68" s="118"/>
      <c r="I68" s="118"/>
      <c r="J68" s="118"/>
      <c r="K68" s="111"/>
      <c r="L68" s="111"/>
      <c r="M68" s="111"/>
      <c r="N68" s="111"/>
      <c r="O68" s="116"/>
    </row>
    <row r="69" spans="1:15" x14ac:dyDescent="0.2">
      <c r="A69" t="s">
        <v>172</v>
      </c>
      <c r="B69" s="119">
        <f>(1299919*60)/(3399.751*2000)</f>
        <v>11.470713590495304</v>
      </c>
      <c r="C69" s="110">
        <v>30.96</v>
      </c>
      <c r="D69" s="111">
        <f t="shared" ref="D69:D79" si="27">(B69*C69)/100</f>
        <v>3.5513329276173464</v>
      </c>
      <c r="E69" s="119">
        <f>(2482657*60)/3399751</f>
        <v>43.814802907624703</v>
      </c>
      <c r="F69" s="110">
        <v>379.68</v>
      </c>
      <c r="G69" s="112">
        <f>E69*F69/2000</f>
        <v>8.3178021839834742</v>
      </c>
      <c r="H69" s="119">
        <f>(200877*60)/3399751</f>
        <v>3.5451478652407191</v>
      </c>
      <c r="I69" s="117">
        <v>96.67</v>
      </c>
      <c r="J69" s="117">
        <f t="shared" ref="J69:J81" si="28">H69*I69/2000</f>
        <v>0.17135472206641017</v>
      </c>
      <c r="K69" s="110">
        <f t="shared" ref="K69:K81" si="29">D69+G69+J69</f>
        <v>12.04048983366723</v>
      </c>
      <c r="L69" s="110">
        <f t="shared" ref="L69:L81" si="30">D69/K69</f>
        <v>0.29494920694066978</v>
      </c>
      <c r="M69" s="111">
        <f t="shared" ref="M69:M81" si="31">(+G69+J69)/K69</f>
        <v>0.70505079305933016</v>
      </c>
      <c r="N69" s="111">
        <v>10.119999999999999</v>
      </c>
      <c r="O69" s="116">
        <f t="shared" ref="O69:O81" si="32">K69-N69</f>
        <v>1.9204898336672311</v>
      </c>
    </row>
    <row r="70" spans="1:15" x14ac:dyDescent="0.2">
      <c r="A70" t="s">
        <v>173</v>
      </c>
      <c r="B70" s="119">
        <f>(1825200*60)/(4891.5*2000)</f>
        <v>11.19411223551058</v>
      </c>
      <c r="C70" s="110">
        <v>33.15</v>
      </c>
      <c r="D70" s="111">
        <f t="shared" si="27"/>
        <v>3.7108482060717574</v>
      </c>
      <c r="E70" s="119">
        <f>(3578656*60)/4891500</f>
        <v>43.896424409690276</v>
      </c>
      <c r="F70" s="110">
        <v>325.69</v>
      </c>
      <c r="G70" s="112">
        <f t="shared" ref="G70:G79" si="33">E70*F70/2000</f>
        <v>7.1483132329960126</v>
      </c>
      <c r="H70" s="119">
        <f>(267000*60)/4891500</f>
        <v>3.2750689972401106</v>
      </c>
      <c r="I70" s="117">
        <v>91.36</v>
      </c>
      <c r="J70" s="117">
        <f t="shared" si="28"/>
        <v>0.14960515179392825</v>
      </c>
      <c r="K70" s="110">
        <f t="shared" si="29"/>
        <v>11.008766590861697</v>
      </c>
      <c r="L70" s="110">
        <f t="shared" si="30"/>
        <v>0.33708119574013928</v>
      </c>
      <c r="M70" s="111">
        <f t="shared" si="31"/>
        <v>0.66291880425986083</v>
      </c>
      <c r="N70" s="111">
        <v>9.7799999999999994</v>
      </c>
      <c r="O70" s="116">
        <f t="shared" si="32"/>
        <v>1.2287665908616976</v>
      </c>
    </row>
    <row r="71" spans="1:15" x14ac:dyDescent="0.2">
      <c r="A71" t="s">
        <v>174</v>
      </c>
      <c r="B71" s="119">
        <f>(1853955*60)/(5060.619*2000)</f>
        <v>10.99048357523062</v>
      </c>
      <c r="C71" s="110">
        <v>36.590000000000003</v>
      </c>
      <c r="D71" s="111">
        <f t="shared" si="27"/>
        <v>4.0214179401768844</v>
      </c>
      <c r="E71" s="119">
        <f>(3696360*60)/5060619</f>
        <v>43.824994531301407</v>
      </c>
      <c r="F71" s="110">
        <v>328.18</v>
      </c>
      <c r="G71" s="112">
        <f t="shared" si="33"/>
        <v>7.1912433526412478</v>
      </c>
      <c r="H71" s="119">
        <f>(280185*60)/5060619</f>
        <v>3.3219453983791309</v>
      </c>
      <c r="I71" s="117">
        <v>86.97</v>
      </c>
      <c r="J71" s="117">
        <f t="shared" si="28"/>
        <v>0.14445479564851649</v>
      </c>
      <c r="K71" s="110">
        <f t="shared" si="29"/>
        <v>11.35711608846665</v>
      </c>
      <c r="L71" s="110">
        <f t="shared" si="30"/>
        <v>0.35408794881129235</v>
      </c>
      <c r="M71" s="111">
        <f t="shared" si="31"/>
        <v>0.64591205118870743</v>
      </c>
      <c r="N71" s="111">
        <v>10.09</v>
      </c>
      <c r="O71" s="116">
        <f t="shared" si="32"/>
        <v>1.2671160884666506</v>
      </c>
    </row>
    <row r="72" spans="1:15" x14ac:dyDescent="0.2">
      <c r="A72" t="s">
        <v>175</v>
      </c>
      <c r="B72" s="119">
        <f>(1898259*60)/(5194.127*2000)</f>
        <v>10.963877086563343</v>
      </c>
      <c r="C72" s="110">
        <v>36.81</v>
      </c>
      <c r="D72" s="111">
        <f t="shared" si="27"/>
        <v>4.0358031555639666</v>
      </c>
      <c r="E72" s="119">
        <f>(3785027*60)/5194127</f>
        <v>43.722769966926109</v>
      </c>
      <c r="F72" s="110">
        <v>333.93</v>
      </c>
      <c r="G72" s="112">
        <f t="shared" si="33"/>
        <v>7.3001722875278183</v>
      </c>
      <c r="H72" s="119">
        <f>(291062*60)/5194127</f>
        <v>3.3622050442740425</v>
      </c>
      <c r="I72" s="117">
        <v>83.52</v>
      </c>
      <c r="J72" s="117">
        <f t="shared" si="28"/>
        <v>0.14040568264888401</v>
      </c>
      <c r="K72" s="110">
        <f t="shared" si="29"/>
        <v>11.476381125740669</v>
      </c>
      <c r="L72" s="110">
        <f t="shared" si="30"/>
        <v>0.3516616528630232</v>
      </c>
      <c r="M72" s="111">
        <f t="shared" si="31"/>
        <v>0.6483383471369768</v>
      </c>
      <c r="N72" s="111">
        <v>10.33</v>
      </c>
      <c r="O72" s="116">
        <f t="shared" si="32"/>
        <v>1.1463811257406693</v>
      </c>
    </row>
    <row r="73" spans="1:15" x14ac:dyDescent="0.2">
      <c r="A73" t="s">
        <v>176</v>
      </c>
      <c r="B73" s="119">
        <f>(1844855.74*60)/(5016.4272*2000)</f>
        <v>11.032886553202646</v>
      </c>
      <c r="C73" s="110">
        <v>34.880000000000003</v>
      </c>
      <c r="D73" s="111">
        <f t="shared" si="27"/>
        <v>3.8482708297570833</v>
      </c>
      <c r="E73" s="119">
        <f>(3656432.96*60)/5016427.2</f>
        <v>43.733511691348774</v>
      </c>
      <c r="F73" s="110">
        <v>314.23</v>
      </c>
      <c r="G73" s="112">
        <f t="shared" si="33"/>
        <v>6.8711906893862631</v>
      </c>
      <c r="H73" s="119">
        <f>(276801*60)/5015716</f>
        <v>3.311204222886623</v>
      </c>
      <c r="I73" s="117">
        <v>97.5</v>
      </c>
      <c r="J73" s="117">
        <f t="shared" si="28"/>
        <v>0.16142120586572287</v>
      </c>
      <c r="K73" s="110">
        <f t="shared" si="29"/>
        <v>10.880882725009069</v>
      </c>
      <c r="L73" s="110">
        <f t="shared" si="30"/>
        <v>0.35367266857054336</v>
      </c>
      <c r="M73" s="111">
        <f t="shared" si="31"/>
        <v>0.64632733142945664</v>
      </c>
      <c r="N73" s="111">
        <v>9.84</v>
      </c>
      <c r="O73" s="116">
        <f t="shared" si="32"/>
        <v>1.0408827250090695</v>
      </c>
    </row>
    <row r="74" spans="1:15" x14ac:dyDescent="0.2">
      <c r="A74" t="s">
        <v>177</v>
      </c>
      <c r="B74" s="119">
        <f>(1690098*60)/(4615.692*2000)</f>
        <v>10.984905405300006</v>
      </c>
      <c r="C74" s="110">
        <v>34.69</v>
      </c>
      <c r="D74" s="111">
        <f t="shared" si="27"/>
        <v>3.8106636850985716</v>
      </c>
      <c r="E74" s="119">
        <f>(3375214*60)/4615692</f>
        <v>43.874859934328377</v>
      </c>
      <c r="F74" s="110">
        <v>295.79000000000002</v>
      </c>
      <c r="G74" s="112">
        <f t="shared" si="33"/>
        <v>6.4888724099874961</v>
      </c>
      <c r="H74" s="119">
        <f>(260295*60)/4615692</f>
        <v>3.3836096515972036</v>
      </c>
      <c r="I74" s="117">
        <v>101.71</v>
      </c>
      <c r="J74" s="117">
        <f t="shared" si="28"/>
        <v>0.1720734688319758</v>
      </c>
      <c r="K74" s="110">
        <f t="shared" si="29"/>
        <v>10.471609563918044</v>
      </c>
      <c r="L74" s="110">
        <f t="shared" si="30"/>
        <v>0.36390429397109592</v>
      </c>
      <c r="M74" s="111">
        <f t="shared" si="31"/>
        <v>0.63609570602890408</v>
      </c>
      <c r="N74" s="111">
        <v>9.44</v>
      </c>
      <c r="O74" s="116">
        <f t="shared" si="32"/>
        <v>1.0316095639180443</v>
      </c>
    </row>
    <row r="75" spans="1:15" x14ac:dyDescent="0.2">
      <c r="A75" t="s">
        <v>178</v>
      </c>
      <c r="B75" s="119">
        <f>(1727705.71*60)/(4681.65478*2000)</f>
        <v>11.071122014682166</v>
      </c>
      <c r="C75" s="110">
        <v>36.39</v>
      </c>
      <c r="D75" s="111">
        <f t="shared" si="27"/>
        <v>4.0287813011428399</v>
      </c>
      <c r="E75" s="119">
        <f>(3415264.38*60)/4681654.78</f>
        <v>43.769964345811928</v>
      </c>
      <c r="F75" s="110">
        <v>277.61</v>
      </c>
      <c r="G75" s="112">
        <f t="shared" si="33"/>
        <v>6.0754899010204255</v>
      </c>
      <c r="H75" s="119">
        <f>(264751*60)/4684315</f>
        <v>3.3911169509309258</v>
      </c>
      <c r="I75" s="117">
        <v>90.65</v>
      </c>
      <c r="J75" s="117">
        <f t="shared" si="28"/>
        <v>0.15370237580094423</v>
      </c>
      <c r="K75" s="110">
        <f t="shared" si="29"/>
        <v>10.25797357796421</v>
      </c>
      <c r="L75" s="110">
        <f t="shared" si="30"/>
        <v>0.39274631295573964</v>
      </c>
      <c r="M75" s="111">
        <f t="shared" si="31"/>
        <v>0.6072536870442603</v>
      </c>
      <c r="N75" s="111">
        <v>9.49</v>
      </c>
      <c r="O75" s="116">
        <f t="shared" si="32"/>
        <v>0.7679735779642094</v>
      </c>
    </row>
    <row r="76" spans="1:15" x14ac:dyDescent="0.2">
      <c r="A76" t="s">
        <v>179</v>
      </c>
      <c r="B76" s="119">
        <f>(1518120.3*60)/(4093.78492*2000)</f>
        <v>11.125061499322735</v>
      </c>
      <c r="C76" s="110">
        <v>37.11</v>
      </c>
      <c r="D76" s="111">
        <f t="shared" si="27"/>
        <v>4.1285103223986672</v>
      </c>
      <c r="E76" s="119">
        <f>(2981511.76*60)/4093784.92</f>
        <v>43.698120222691131</v>
      </c>
      <c r="F76" s="110">
        <v>291.20999999999998</v>
      </c>
      <c r="G76" s="112">
        <f t="shared" si="33"/>
        <v>6.3626647950249415</v>
      </c>
      <c r="H76" s="119">
        <f>(230496*60)/4096412</f>
        <v>3.3760666651694216</v>
      </c>
      <c r="I76" s="117">
        <v>82.74</v>
      </c>
      <c r="J76" s="117">
        <f t="shared" si="28"/>
        <v>0.13966787793805896</v>
      </c>
      <c r="K76" s="110">
        <f t="shared" si="29"/>
        <v>10.630842995361668</v>
      </c>
      <c r="L76" s="110">
        <f t="shared" si="30"/>
        <v>0.3883521113236244</v>
      </c>
      <c r="M76" s="111">
        <f t="shared" si="31"/>
        <v>0.61164788867637565</v>
      </c>
      <c r="N76" s="111">
        <v>9.75</v>
      </c>
      <c r="O76" s="116">
        <f t="shared" si="32"/>
        <v>0.8808429953616681</v>
      </c>
    </row>
    <row r="77" spans="1:15" x14ac:dyDescent="0.2">
      <c r="A77" t="s">
        <v>180</v>
      </c>
      <c r="B77" s="119">
        <f>(1481564.85*60)/(3988.61645*2000)</f>
        <v>11.143449378292566</v>
      </c>
      <c r="C77" s="110">
        <v>35.409999999999997</v>
      </c>
      <c r="D77" s="111">
        <f t="shared" si="27"/>
        <v>3.9458954248533975</v>
      </c>
      <c r="E77" s="119">
        <f>(2921012.2*60)/3988616.45</f>
        <v>43.940231956873163</v>
      </c>
      <c r="F77" s="110">
        <v>287.85000000000002</v>
      </c>
      <c r="G77" s="112">
        <f t="shared" si="33"/>
        <v>6.3240978843929705</v>
      </c>
      <c r="H77" s="119">
        <f>(223450*60)/3988616</f>
        <v>3.3613163062074665</v>
      </c>
      <c r="I77" s="117">
        <v>77.63</v>
      </c>
      <c r="J77" s="117">
        <f t="shared" si="28"/>
        <v>0.13046949242544281</v>
      </c>
      <c r="K77" s="110">
        <f t="shared" si="29"/>
        <v>10.400462801671811</v>
      </c>
      <c r="L77" s="110">
        <f t="shared" si="30"/>
        <v>0.37939613843137049</v>
      </c>
      <c r="M77" s="111">
        <f t="shared" si="31"/>
        <v>0.62060386156862957</v>
      </c>
      <c r="N77" s="111">
        <v>9.5500000000000007</v>
      </c>
      <c r="O77" s="116">
        <f t="shared" si="32"/>
        <v>0.8504628016718101</v>
      </c>
    </row>
    <row r="78" spans="1:15" x14ac:dyDescent="0.2">
      <c r="A78" t="s">
        <v>191</v>
      </c>
      <c r="B78" s="119">
        <f>(1442238.9*60)/(3884.29876*2000)</f>
        <v>11.138990503397839</v>
      </c>
      <c r="C78" s="110">
        <v>34.47</v>
      </c>
      <c r="D78" s="111">
        <f t="shared" si="27"/>
        <v>3.839610026521235</v>
      </c>
      <c r="E78" s="119">
        <f>(2839787.64*60)/3884298.76</f>
        <v>43.865641890017756</v>
      </c>
      <c r="F78" s="110">
        <v>305.77999999999997</v>
      </c>
      <c r="G78" s="112">
        <f t="shared" si="33"/>
        <v>6.7066179885648145</v>
      </c>
      <c r="H78" s="119">
        <f>(216275*60)/3875035</f>
        <v>3.3487439468288676</v>
      </c>
      <c r="I78" s="117">
        <v>79.319999999999993</v>
      </c>
      <c r="J78" s="117">
        <f t="shared" si="28"/>
        <v>0.13281118493123287</v>
      </c>
      <c r="K78" s="110">
        <f t="shared" si="29"/>
        <v>10.679039200017282</v>
      </c>
      <c r="L78" s="110">
        <f t="shared" si="30"/>
        <v>0.35954639313572528</v>
      </c>
      <c r="M78" s="111">
        <f t="shared" si="31"/>
        <v>0.64045360686427477</v>
      </c>
      <c r="N78" s="111">
        <v>9.5500000000000007</v>
      </c>
      <c r="O78" s="116">
        <f t="shared" si="32"/>
        <v>1.1290392000172815</v>
      </c>
    </row>
    <row r="79" spans="1:15" x14ac:dyDescent="0.2">
      <c r="A79" t="s">
        <v>192</v>
      </c>
      <c r="B79" s="119">
        <f>(1440451.02*60)/(3880.92194*2000)</f>
        <v>11.134862094134261</v>
      </c>
      <c r="C79" s="110">
        <v>35.07</v>
      </c>
      <c r="D79" s="111">
        <f t="shared" si="27"/>
        <v>3.9049961364128851</v>
      </c>
      <c r="E79" s="119">
        <f>(2837937.16*60)/3880921.94</f>
        <v>43.875200849826939</v>
      </c>
      <c r="F79" s="110">
        <v>325.56</v>
      </c>
      <c r="G79" s="112">
        <f t="shared" si="33"/>
        <v>7.1420051943348293</v>
      </c>
      <c r="H79" s="119">
        <f>(218170*60)/3880922</f>
        <v>3.3729613736117345</v>
      </c>
      <c r="I79" s="117">
        <v>82.38</v>
      </c>
      <c r="J79" s="117">
        <f t="shared" si="28"/>
        <v>0.13893227897906735</v>
      </c>
      <c r="K79" s="110">
        <f t="shared" si="29"/>
        <v>11.185933609726783</v>
      </c>
      <c r="L79" s="110">
        <f t="shared" si="30"/>
        <v>0.34909881219188327</v>
      </c>
      <c r="M79" s="111">
        <f t="shared" si="31"/>
        <v>0.65090118780811657</v>
      </c>
      <c r="N79" s="111">
        <v>10.3</v>
      </c>
      <c r="O79" s="116">
        <f t="shared" si="32"/>
        <v>0.88593360972678248</v>
      </c>
    </row>
    <row r="80" spans="1:15" x14ac:dyDescent="0.2">
      <c r="A80" t="s">
        <v>193</v>
      </c>
      <c r="B80" s="119">
        <f>(1418447.8*60)/(3843.195*2000)</f>
        <v>11.072410845663569</v>
      </c>
      <c r="C80" s="110">
        <v>37.57</v>
      </c>
      <c r="D80" s="111">
        <f>(B80*C80)/100</f>
        <v>4.1599047547158028</v>
      </c>
      <c r="E80" s="119">
        <f>(2806180.9*60)/3843195</f>
        <v>43.810125169292739</v>
      </c>
      <c r="F80" s="110">
        <v>331.76</v>
      </c>
      <c r="G80" s="112">
        <f>E80*F80/2000</f>
        <v>7.2672235630822799</v>
      </c>
      <c r="H80" s="119">
        <f>(224409*60)/3843195</f>
        <v>3.5034756237973874</v>
      </c>
      <c r="I80" s="117">
        <v>92.75</v>
      </c>
      <c r="J80" s="117">
        <f t="shared" si="28"/>
        <v>0.16247368205360385</v>
      </c>
      <c r="K80" s="110">
        <f t="shared" si="29"/>
        <v>11.589601999851686</v>
      </c>
      <c r="L80" s="110">
        <f t="shared" si="30"/>
        <v>0.35893422006804354</v>
      </c>
      <c r="M80" s="111">
        <f t="shared" si="31"/>
        <v>0.64106577993195657</v>
      </c>
      <c r="N80" s="111">
        <v>10.66</v>
      </c>
      <c r="O80" s="116">
        <f t="shared" si="32"/>
        <v>0.92960199985168579</v>
      </c>
    </row>
    <row r="81" spans="1:15" x14ac:dyDescent="0.2">
      <c r="A81" s="21" t="s">
        <v>237</v>
      </c>
      <c r="B81" s="119">
        <f>(19440815.32*60)/(52550.58805*2000)</f>
        <v>11.098343163069515</v>
      </c>
      <c r="C81" s="110">
        <f>AVERAGE(C69:C80)</f>
        <v>35.258333333333333</v>
      </c>
      <c r="D81" s="111">
        <f>(B81*C81)/100</f>
        <v>3.9130908269122595</v>
      </c>
      <c r="E81" s="119">
        <f>(38376041*60)/52550588.05</f>
        <v>43.81611215861551</v>
      </c>
      <c r="F81" s="110">
        <f>AVERAGE(F69:F80)</f>
        <v>316.43916666666661</v>
      </c>
      <c r="G81" s="112">
        <f>E81*F81/2000</f>
        <v>6.9325670090227449</v>
      </c>
      <c r="H81" s="119">
        <f>(2953771*60)/52545900</f>
        <v>3.3727895040336162</v>
      </c>
      <c r="I81" s="117">
        <f>AVERAGE(I69:I80)</f>
        <v>88.59999999999998</v>
      </c>
      <c r="J81" s="117">
        <f t="shared" si="28"/>
        <v>0.14941457502868918</v>
      </c>
      <c r="K81" s="110">
        <f t="shared" si="29"/>
        <v>10.995072410963694</v>
      </c>
      <c r="L81" s="110">
        <f t="shared" si="30"/>
        <v>0.35589495736384019</v>
      </c>
      <c r="M81" s="111">
        <f t="shared" si="31"/>
        <v>0.64410504263615975</v>
      </c>
      <c r="N81" s="111">
        <f>AVERAGE(N69:N80)</f>
        <v>9.9083333333333314</v>
      </c>
      <c r="O81" s="116">
        <f t="shared" si="32"/>
        <v>1.0867390776303623</v>
      </c>
    </row>
    <row r="82" spans="1:15" x14ac:dyDescent="0.2">
      <c r="A82" s="28" t="s">
        <v>38</v>
      </c>
      <c r="B82" s="111"/>
      <c r="C82" s="110"/>
      <c r="D82" s="111"/>
      <c r="E82" s="115"/>
      <c r="F82" s="110"/>
      <c r="G82" s="112"/>
      <c r="H82" s="118"/>
      <c r="I82" s="118"/>
      <c r="J82" s="118"/>
      <c r="K82" s="111"/>
      <c r="L82" s="111"/>
      <c r="M82" s="111"/>
      <c r="N82" s="111"/>
      <c r="O82" s="116"/>
    </row>
    <row r="83" spans="1:15" x14ac:dyDescent="0.2">
      <c r="A83" t="s">
        <v>172</v>
      </c>
      <c r="B83" s="119">
        <f>(1474417.2*60)/(3910.8754*2000)</f>
        <v>11.310131741860147</v>
      </c>
      <c r="C83" s="110">
        <v>39.21</v>
      </c>
      <c r="D83" s="111">
        <f t="shared" ref="D83:D93" si="34">(B83*C83)/100</f>
        <v>4.4347026559833633</v>
      </c>
      <c r="E83" s="119">
        <f>(2836038.5*60)/3910875.4</f>
        <v>43.510031027835865</v>
      </c>
      <c r="F83" s="110">
        <v>317.64999999999998</v>
      </c>
      <c r="G83" s="112">
        <f>E83*F83/2000</f>
        <v>6.9104806779960306</v>
      </c>
      <c r="H83" s="119">
        <f>(223644.7*60)/3910875.4</f>
        <v>3.4311197948162708</v>
      </c>
      <c r="I83" s="117">
        <v>113.52</v>
      </c>
      <c r="J83" s="117">
        <f t="shared" ref="J83:J95" si="35">H83*I83/2000</f>
        <v>0.19475035955377151</v>
      </c>
      <c r="K83" s="110">
        <f t="shared" ref="K83:K95" si="36">D83+G83+J83</f>
        <v>11.539933693533165</v>
      </c>
      <c r="L83" s="110">
        <f t="shared" ref="L83:L95" si="37">D83/K83</f>
        <v>0.38429186629282935</v>
      </c>
      <c r="M83" s="111">
        <f t="shared" ref="M83:M95" si="38">(+G83+J83)/K83</f>
        <v>0.6157081337071707</v>
      </c>
      <c r="N83" s="111">
        <v>10.65</v>
      </c>
      <c r="O83" s="116">
        <f t="shared" ref="O83:O109" si="39">K83-N83</f>
        <v>0.88993369353316432</v>
      </c>
    </row>
    <row r="84" spans="1:15" x14ac:dyDescent="0.2">
      <c r="A84" t="s">
        <v>173</v>
      </c>
      <c r="B84" s="119">
        <f>(1790543.39*60)/(4716.39359*2000)</f>
        <v>11.389274596143279</v>
      </c>
      <c r="C84" s="110">
        <v>44.02</v>
      </c>
      <c r="D84" s="111">
        <f t="shared" si="34"/>
        <v>5.0135586772222718</v>
      </c>
      <c r="E84" s="119">
        <f>(3475802.73*60)/4716393.59</f>
        <v>44.21771843685336</v>
      </c>
      <c r="F84" s="110">
        <v>321.92</v>
      </c>
      <c r="G84" s="112">
        <f t="shared" ref="G84:G93" si="40">E84*F84/2000</f>
        <v>7.1172839595959179</v>
      </c>
      <c r="H84" s="119">
        <f>(262267.37*60)/4716393.59</f>
        <v>3.3364565318222308</v>
      </c>
      <c r="I84" s="117">
        <v>140.47999999999999</v>
      </c>
      <c r="J84" s="117">
        <f t="shared" si="35"/>
        <v>0.23435270679519349</v>
      </c>
      <c r="K84" s="110">
        <f t="shared" si="36"/>
        <v>12.365195343613385</v>
      </c>
      <c r="L84" s="110">
        <f t="shared" si="37"/>
        <v>0.40545729670269798</v>
      </c>
      <c r="M84" s="111">
        <f t="shared" si="38"/>
        <v>0.59454270329730186</v>
      </c>
      <c r="N84" s="111">
        <v>11.48</v>
      </c>
      <c r="O84" s="116">
        <f t="shared" si="39"/>
        <v>0.88519534361338437</v>
      </c>
    </row>
    <row r="85" spans="1:15" x14ac:dyDescent="0.2">
      <c r="A85" t="s">
        <v>174</v>
      </c>
      <c r="B85" s="119">
        <f>(1771201.2*60)/(4651.751*2000)</f>
        <v>11.422803155198977</v>
      </c>
      <c r="C85" s="110">
        <v>47.62</v>
      </c>
      <c r="D85" s="111">
        <f t="shared" si="34"/>
        <v>5.4395388625057528</v>
      </c>
      <c r="E85" s="119">
        <f>(3447649.3*60)/4651751</f>
        <v>44.469052191314624</v>
      </c>
      <c r="F85" s="110">
        <v>341.78</v>
      </c>
      <c r="G85" s="112">
        <f t="shared" si="40"/>
        <v>7.5993163289737558</v>
      </c>
      <c r="H85" s="119">
        <f>(272399.8*60)/4651751</f>
        <v>3.5135130835678865</v>
      </c>
      <c r="I85" s="117">
        <v>157.38</v>
      </c>
      <c r="J85" s="117">
        <f t="shared" si="35"/>
        <v>0.27647834454595699</v>
      </c>
      <c r="K85" s="110">
        <f t="shared" si="36"/>
        <v>13.315333536025467</v>
      </c>
      <c r="L85" s="110">
        <f t="shared" si="37"/>
        <v>0.40851690630120086</v>
      </c>
      <c r="M85" s="111">
        <f t="shared" si="38"/>
        <v>0.59148309369879914</v>
      </c>
      <c r="N85" s="111">
        <v>12.52</v>
      </c>
      <c r="O85" s="116">
        <f t="shared" si="39"/>
        <v>0.79533353602546697</v>
      </c>
    </row>
    <row r="86" spans="1:15" x14ac:dyDescent="0.2">
      <c r="A86" t="s">
        <v>175</v>
      </c>
      <c r="B86" s="119">
        <f>(1731506.15*60)/(4570.40185*2000)</f>
        <v>11.365561761270509</v>
      </c>
      <c r="C86" s="110">
        <v>51.51</v>
      </c>
      <c r="D86" s="111">
        <f t="shared" si="34"/>
        <v>5.8544008632304392</v>
      </c>
      <c r="E86" s="119">
        <f>(3397763.35*60)/4570401.85</f>
        <v>44.60566219138915</v>
      </c>
      <c r="F86" s="110">
        <v>351.93</v>
      </c>
      <c r="G86" s="112">
        <f t="shared" si="40"/>
        <v>7.8490353475077921</v>
      </c>
      <c r="H86" s="119">
        <f>(277780.5*60)/4570401.85</f>
        <v>3.6466880915515123</v>
      </c>
      <c r="I86" s="117">
        <v>155</v>
      </c>
      <c r="J86" s="117">
        <f t="shared" si="35"/>
        <v>0.28261832709524221</v>
      </c>
      <c r="K86" s="110">
        <f t="shared" si="36"/>
        <v>13.986054537833475</v>
      </c>
      <c r="L86" s="110">
        <f t="shared" si="37"/>
        <v>0.41858844804256867</v>
      </c>
      <c r="M86" s="111">
        <f t="shared" si="38"/>
        <v>0.58141155195743133</v>
      </c>
      <c r="N86" s="111">
        <v>13.11</v>
      </c>
      <c r="O86" s="116">
        <f t="shared" si="39"/>
        <v>0.87605453783347542</v>
      </c>
    </row>
    <row r="87" spans="1:15" x14ac:dyDescent="0.2">
      <c r="A87" t="s">
        <v>176</v>
      </c>
      <c r="B87" s="119">
        <f>(1722940*60)/(4475.043*2000)</f>
        <v>11.550324767829046</v>
      </c>
      <c r="C87" s="110">
        <v>53.84</v>
      </c>
      <c r="D87" s="111">
        <f t="shared" si="34"/>
        <v>6.2186948549991587</v>
      </c>
      <c r="E87" s="119">
        <f>(3298360*60)/4475043</f>
        <v>44.223396289152973</v>
      </c>
      <c r="F87" s="110">
        <v>368.54</v>
      </c>
      <c r="G87" s="112">
        <f t="shared" si="40"/>
        <v>8.1490452342022195</v>
      </c>
      <c r="H87" s="119">
        <f>(271099*60)/4475043</f>
        <v>3.6348120006891556</v>
      </c>
      <c r="I87" s="117">
        <v>157.5</v>
      </c>
      <c r="J87" s="117">
        <f t="shared" si="35"/>
        <v>0.28624144505427102</v>
      </c>
      <c r="K87" s="110">
        <f t="shared" si="36"/>
        <v>14.653981534255649</v>
      </c>
      <c r="L87" s="110">
        <f t="shared" si="37"/>
        <v>0.42436895668676289</v>
      </c>
      <c r="M87" s="111">
        <f t="shared" si="38"/>
        <v>0.57563104331323711</v>
      </c>
      <c r="N87" s="111">
        <v>13.78</v>
      </c>
      <c r="O87" s="116">
        <f t="shared" si="39"/>
        <v>0.87398153425565006</v>
      </c>
    </row>
    <row r="88" spans="1:15" x14ac:dyDescent="0.2">
      <c r="A88" t="s">
        <v>177</v>
      </c>
      <c r="B88" s="119">
        <f>(1500030*60)/(3882.405*2000)</f>
        <v>11.590985484512821</v>
      </c>
      <c r="C88" s="110">
        <v>54.21</v>
      </c>
      <c r="D88" s="111">
        <f t="shared" si="34"/>
        <v>6.2834732311544004</v>
      </c>
      <c r="E88" s="119">
        <f>(2889211*60)/3882405</f>
        <v>44.650844000046362</v>
      </c>
      <c r="F88" s="110">
        <v>358.59</v>
      </c>
      <c r="G88" s="112">
        <f t="shared" si="40"/>
        <v>8.0056730749883123</v>
      </c>
      <c r="H88" s="119">
        <f>(236939*60)/3882405</f>
        <v>3.6617354449110797</v>
      </c>
      <c r="I88" s="117">
        <v>156.97</v>
      </c>
      <c r="J88" s="117">
        <f t="shared" si="35"/>
        <v>0.28739130639384608</v>
      </c>
      <c r="K88" s="110">
        <f t="shared" si="36"/>
        <v>14.576537612536558</v>
      </c>
      <c r="L88" s="110">
        <f t="shared" si="37"/>
        <v>0.43106761003040228</v>
      </c>
      <c r="M88" s="111">
        <f t="shared" si="38"/>
        <v>0.56893238996959772</v>
      </c>
      <c r="N88" s="111">
        <v>13.86</v>
      </c>
      <c r="O88" s="116">
        <f t="shared" si="39"/>
        <v>0.71653761253655901</v>
      </c>
    </row>
    <row r="89" spans="1:15" x14ac:dyDescent="0.2">
      <c r="A89" t="s">
        <v>178</v>
      </c>
      <c r="B89" s="119">
        <f>(1623774*60)/(4208.023*2000)</f>
        <v>11.57627227797947</v>
      </c>
      <c r="C89" s="110">
        <v>54.07</v>
      </c>
      <c r="D89" s="111">
        <f t="shared" si="34"/>
        <v>6.2592904207034996</v>
      </c>
      <c r="E89" s="119">
        <f>(3111911*60)/4208023</f>
        <v>44.371112040024499</v>
      </c>
      <c r="F89" s="110">
        <v>345.43</v>
      </c>
      <c r="G89" s="112">
        <f t="shared" si="40"/>
        <v>7.6635566159928308</v>
      </c>
      <c r="H89" s="119">
        <f>(259694*60)/4208023</f>
        <v>3.7028409778178495</v>
      </c>
      <c r="I89" s="117">
        <v>157.16999999999999</v>
      </c>
      <c r="J89" s="117">
        <f t="shared" si="35"/>
        <v>0.29098775824181572</v>
      </c>
      <c r="K89" s="110">
        <f t="shared" si="36"/>
        <v>14.213834794938146</v>
      </c>
      <c r="L89" s="110">
        <f t="shared" si="37"/>
        <v>0.44036605961767394</v>
      </c>
      <c r="M89" s="111">
        <f t="shared" si="38"/>
        <v>0.55963394038232606</v>
      </c>
      <c r="N89" s="111">
        <v>13.5</v>
      </c>
      <c r="O89" s="116">
        <f t="shared" si="39"/>
        <v>0.71383479493814583</v>
      </c>
    </row>
    <row r="90" spans="1:15" x14ac:dyDescent="0.2">
      <c r="A90" t="s">
        <v>179</v>
      </c>
      <c r="B90" s="119">
        <f>(1504598*60)/(3839.636*2000)</f>
        <v>11.755786225569299</v>
      </c>
      <c r="C90" s="110">
        <v>56.65</v>
      </c>
      <c r="D90" s="111">
        <f t="shared" si="34"/>
        <v>6.6596528967850075</v>
      </c>
      <c r="E90" s="119">
        <f>(2873217*60)/3839636</f>
        <v>44.898271606996083</v>
      </c>
      <c r="F90" s="110">
        <v>335.87</v>
      </c>
      <c r="G90" s="112">
        <f t="shared" si="40"/>
        <v>7.5399912423208875</v>
      </c>
      <c r="H90" s="119">
        <f>(239721*60)/3839636</f>
        <v>3.7459957141770732</v>
      </c>
      <c r="I90" s="117">
        <v>159.63</v>
      </c>
      <c r="J90" s="117">
        <f t="shared" si="35"/>
        <v>0.29898664792704305</v>
      </c>
      <c r="K90" s="110">
        <f t="shared" si="36"/>
        <v>14.498630787032939</v>
      </c>
      <c r="L90" s="110">
        <f t="shared" si="37"/>
        <v>0.45932978048804202</v>
      </c>
      <c r="M90" s="111">
        <f t="shared" si="38"/>
        <v>0.54067021951195793</v>
      </c>
      <c r="N90" s="111">
        <v>13.64</v>
      </c>
      <c r="O90" s="116">
        <f t="shared" si="39"/>
        <v>0.85863078703293816</v>
      </c>
    </row>
    <row r="91" spans="1:15" x14ac:dyDescent="0.2">
      <c r="A91" t="s">
        <v>180</v>
      </c>
      <c r="B91" s="119">
        <f>(1491195*60)/(3841.157*2000)</f>
        <v>11.646451837297981</v>
      </c>
      <c r="C91" s="110">
        <v>56.09</v>
      </c>
      <c r="D91" s="111">
        <f t="shared" si="34"/>
        <v>6.5324948355404375</v>
      </c>
      <c r="E91" s="119">
        <f>(2865776*60)/3841157</f>
        <v>44.764262434469615</v>
      </c>
      <c r="F91" s="110">
        <v>342.3</v>
      </c>
      <c r="G91" s="112">
        <f t="shared" si="40"/>
        <v>7.6614035156594742</v>
      </c>
      <c r="H91" s="119">
        <f>(234746*60)/3841157</f>
        <v>3.6668014350884381</v>
      </c>
      <c r="I91" s="117">
        <v>164.86</v>
      </c>
      <c r="J91" s="117">
        <f t="shared" si="35"/>
        <v>0.30225444229433995</v>
      </c>
      <c r="K91" s="110">
        <f t="shared" si="36"/>
        <v>14.496152793494252</v>
      </c>
      <c r="L91" s="110">
        <f t="shared" si="37"/>
        <v>0.45063645013952702</v>
      </c>
      <c r="M91" s="111">
        <f t="shared" si="38"/>
        <v>0.54936354986047298</v>
      </c>
      <c r="N91" s="111">
        <v>13.68</v>
      </c>
      <c r="O91" s="116">
        <f t="shared" si="39"/>
        <v>0.81615279349425229</v>
      </c>
    </row>
    <row r="92" spans="1:15" x14ac:dyDescent="0.2">
      <c r="A92" t="s">
        <v>191</v>
      </c>
      <c r="B92" s="119">
        <f>(1437997*60)/(3708.711*2000)</f>
        <v>11.632049518013131</v>
      </c>
      <c r="C92" s="110">
        <v>55.68</v>
      </c>
      <c r="D92" s="111">
        <f t="shared" si="34"/>
        <v>6.4767251716297123</v>
      </c>
      <c r="E92" s="119">
        <f>(2746586*60)/3708711</f>
        <v>44.434618928247581</v>
      </c>
      <c r="F92" s="110">
        <v>347.45</v>
      </c>
      <c r="G92" s="112">
        <f t="shared" si="40"/>
        <v>7.7194041733098109</v>
      </c>
      <c r="H92" s="119">
        <f>(226906*60)/3708711</f>
        <v>3.670914234082947</v>
      </c>
      <c r="I92" s="117">
        <v>175.34</v>
      </c>
      <c r="J92" s="117">
        <f t="shared" si="35"/>
        <v>0.32182905090205194</v>
      </c>
      <c r="K92" s="110">
        <f t="shared" si="36"/>
        <v>14.517958395841575</v>
      </c>
      <c r="L92" s="110">
        <f t="shared" si="37"/>
        <v>0.44611817963914685</v>
      </c>
      <c r="M92" s="111">
        <f t="shared" si="38"/>
        <v>0.55388182036085321</v>
      </c>
      <c r="N92" s="111">
        <v>13.82</v>
      </c>
      <c r="O92" s="116">
        <f t="shared" si="39"/>
        <v>0.69795839584157449</v>
      </c>
    </row>
    <row r="93" spans="1:15" x14ac:dyDescent="0.2">
      <c r="A93" t="s">
        <v>192</v>
      </c>
      <c r="B93" s="119">
        <f>(1504674*60)/(3886.8813*2000)</f>
        <v>11.613480452824737</v>
      </c>
      <c r="C93" s="110">
        <v>55.16</v>
      </c>
      <c r="D93" s="111">
        <f t="shared" si="34"/>
        <v>6.4059958177781242</v>
      </c>
      <c r="E93" s="119">
        <f>(2857622*60)/3886881</f>
        <v>44.111800695724924</v>
      </c>
      <c r="F93" s="110">
        <v>346.52</v>
      </c>
      <c r="G93" s="112">
        <f t="shared" si="40"/>
        <v>7.6428105885413</v>
      </c>
      <c r="H93" s="119">
        <f>(239432*60)/3886881</f>
        <v>3.6960020129250162</v>
      </c>
      <c r="I93" s="117">
        <v>189.5</v>
      </c>
      <c r="J93" s="117">
        <f t="shared" si="35"/>
        <v>0.35019619072464531</v>
      </c>
      <c r="K93" s="110">
        <f t="shared" si="36"/>
        <v>14.39900259704407</v>
      </c>
      <c r="L93" s="110">
        <f t="shared" si="37"/>
        <v>0.44489163569518297</v>
      </c>
      <c r="M93" s="111">
        <f t="shared" si="38"/>
        <v>0.55510836430481691</v>
      </c>
      <c r="N93" s="111">
        <v>13.84</v>
      </c>
      <c r="O93" s="116">
        <f t="shared" si="39"/>
        <v>0.55900259704407063</v>
      </c>
    </row>
    <row r="94" spans="1:15" x14ac:dyDescent="0.2">
      <c r="A94" t="s">
        <v>193</v>
      </c>
      <c r="B94" s="119">
        <f>(1458750)/125000</f>
        <v>11.67</v>
      </c>
      <c r="C94" s="110">
        <v>54.39</v>
      </c>
      <c r="D94" s="111">
        <f>(B94*C94)/100</f>
        <v>6.3473130000000006</v>
      </c>
      <c r="E94" s="119">
        <f>(2779375*2)/125000</f>
        <v>44.47</v>
      </c>
      <c r="F94" s="110">
        <v>349.6</v>
      </c>
      <c r="G94" s="112">
        <f>E94*F94/2000</f>
        <v>7.7733560000000006</v>
      </c>
      <c r="H94" s="119">
        <f>(222525*2)/125000</f>
        <v>3.5604</v>
      </c>
      <c r="I94" s="117">
        <v>216.3</v>
      </c>
      <c r="J94" s="117">
        <f t="shared" si="35"/>
        <v>0.38505726000000007</v>
      </c>
      <c r="K94" s="110">
        <f t="shared" si="36"/>
        <v>14.505726260000001</v>
      </c>
      <c r="L94" s="110">
        <f t="shared" si="37"/>
        <v>0.4375729202544596</v>
      </c>
      <c r="M94" s="111">
        <f t="shared" si="38"/>
        <v>0.56242707974554051</v>
      </c>
      <c r="N94" s="111">
        <v>13.81</v>
      </c>
      <c r="O94" s="116">
        <f t="shared" si="39"/>
        <v>0.69572626000000071</v>
      </c>
    </row>
    <row r="95" spans="1:15" x14ac:dyDescent="0.2">
      <c r="A95" s="21" t="s">
        <v>237</v>
      </c>
      <c r="B95" s="119">
        <f>(19011625.94*60)/(49441.27784*2000)</f>
        <v>11.535882629201883</v>
      </c>
      <c r="C95" s="110">
        <f>AVERAGE(C83:C94)</f>
        <v>51.870833333333316</v>
      </c>
      <c r="D95" s="111">
        <f>(B95*C95)/100</f>
        <v>5.9837584521222569</v>
      </c>
      <c r="E95" s="119">
        <f>(36579311.88*60)/49441277.84</f>
        <v>44.391221438543631</v>
      </c>
      <c r="F95" s="110">
        <f>AVERAGE(F83:F94)</f>
        <v>343.96499999999997</v>
      </c>
      <c r="G95" s="112">
        <f>E95*F95/2000</f>
        <v>7.6345132410543295</v>
      </c>
      <c r="H95" s="119">
        <f>(2967154.37*60)/49441277.84</f>
        <v>3.6008224297141265</v>
      </c>
      <c r="I95" s="117">
        <f>AVERAGE(I83:I94)</f>
        <v>161.97083333333333</v>
      </c>
      <c r="J95" s="117">
        <f t="shared" si="35"/>
        <v>0.29161410481307759</v>
      </c>
      <c r="K95" s="110">
        <f t="shared" si="36"/>
        <v>13.909885797989665</v>
      </c>
      <c r="L95" s="110">
        <f t="shared" si="37"/>
        <v>0.43018027171632589</v>
      </c>
      <c r="M95" s="111">
        <f t="shared" si="38"/>
        <v>0.569819728283674</v>
      </c>
      <c r="N95" s="111">
        <f>AVERAGE(N83:N94)</f>
        <v>13.140833333333333</v>
      </c>
      <c r="O95" s="116">
        <f t="shared" si="39"/>
        <v>0.76905246465633148</v>
      </c>
    </row>
    <row r="96" spans="1:15" x14ac:dyDescent="0.2">
      <c r="A96" s="28" t="s">
        <v>43</v>
      </c>
      <c r="B96" s="120"/>
      <c r="C96" s="111"/>
      <c r="D96" s="111"/>
      <c r="E96" s="120"/>
      <c r="F96" s="111"/>
      <c r="G96" s="115"/>
      <c r="H96" s="120"/>
      <c r="I96" s="118"/>
      <c r="J96" s="118"/>
      <c r="K96" s="111"/>
      <c r="L96" s="111"/>
      <c r="M96" s="111"/>
      <c r="N96" s="118"/>
      <c r="O96" s="116"/>
    </row>
    <row r="97" spans="1:15" x14ac:dyDescent="0.2">
      <c r="A97" t="s">
        <v>172</v>
      </c>
      <c r="B97" s="119">
        <f>(1531282)/(4036896*2/60)</f>
        <v>11.379649116548951</v>
      </c>
      <c r="C97" s="111">
        <v>26.43</v>
      </c>
      <c r="D97" s="111">
        <f t="shared" ref="D97:D107" si="41">(B97*C97)/100</f>
        <v>3.0076412615038874</v>
      </c>
      <c r="E97" s="119">
        <f>2974159/(4036896)*60</f>
        <v>44.204641387838578</v>
      </c>
      <c r="F97" s="110">
        <v>333.62</v>
      </c>
      <c r="G97" s="112">
        <f>E97*F97/2000</f>
        <v>7.3737762299053529</v>
      </c>
      <c r="H97" s="119">
        <f>(200994/4036896)*60</f>
        <v>2.9873546407933222</v>
      </c>
      <c r="I97" s="117">
        <v>137.86000000000001</v>
      </c>
      <c r="J97" s="117">
        <f t="shared" ref="J97:J109" si="42">H97*I97/2000</f>
        <v>0.20591835538988371</v>
      </c>
      <c r="K97" s="110">
        <f t="shared" ref="K97:K109" si="43">D97+G97+J97</f>
        <v>10.587335846799125</v>
      </c>
      <c r="L97" s="110">
        <f t="shared" ref="L97:L109" si="44">D97/K97</f>
        <v>0.28407913992954037</v>
      </c>
      <c r="M97" s="111">
        <f t="shared" ref="M97:M109" si="45">(+G97+J97)/K97</f>
        <v>0.71592086007045952</v>
      </c>
      <c r="N97" s="111">
        <v>8.91</v>
      </c>
      <c r="O97" s="116">
        <f t="shared" si="39"/>
        <v>1.6773358467991244</v>
      </c>
    </row>
    <row r="98" spans="1:15" x14ac:dyDescent="0.2">
      <c r="A98" t="s">
        <v>173</v>
      </c>
      <c r="B98" s="119">
        <f>1962937/(5104010*2/60)</f>
        <v>11.537616501535068</v>
      </c>
      <c r="C98" s="111">
        <v>27.14</v>
      </c>
      <c r="D98" s="111">
        <f t="shared" si="41"/>
        <v>3.1313091185166173</v>
      </c>
      <c r="E98" s="119">
        <f>3742412/(5104010)*60</f>
        <v>43.993785278633858</v>
      </c>
      <c r="F98" s="110">
        <v>327.97</v>
      </c>
      <c r="G98" s="112">
        <f t="shared" ref="G98:G107" si="46">E98*F98/2000</f>
        <v>7.2143208789167739</v>
      </c>
      <c r="H98" s="119">
        <f>(258909/5104010)*60</f>
        <v>3.0435951340220728</v>
      </c>
      <c r="I98" s="117">
        <v>166.79</v>
      </c>
      <c r="J98" s="117">
        <f t="shared" si="42"/>
        <v>0.25382061620177077</v>
      </c>
      <c r="K98" s="110">
        <f t="shared" si="43"/>
        <v>10.599450613635163</v>
      </c>
      <c r="L98" s="110">
        <f t="shared" si="44"/>
        <v>0.2954218320040562</v>
      </c>
      <c r="M98" s="111">
        <f t="shared" si="45"/>
        <v>0.70457816799594375</v>
      </c>
      <c r="N98" s="111">
        <v>8.93</v>
      </c>
      <c r="O98" s="116">
        <f t="shared" si="39"/>
        <v>1.6694506136351634</v>
      </c>
    </row>
    <row r="99" spans="1:15" x14ac:dyDescent="0.2">
      <c r="A99" t="s">
        <v>174</v>
      </c>
      <c r="B99" s="119">
        <f>1901853/(4973534*2/60)</f>
        <v>11.471840747444372</v>
      </c>
      <c r="C99" s="111">
        <v>26.42</v>
      </c>
      <c r="D99" s="111">
        <f t="shared" si="41"/>
        <v>3.0308603254748032</v>
      </c>
      <c r="E99" s="119">
        <f>3655750/(4973534)*60</f>
        <v>44.10244305156052</v>
      </c>
      <c r="F99" s="110">
        <v>308.60000000000002</v>
      </c>
      <c r="G99" s="112">
        <f t="shared" si="46"/>
        <v>6.8050069628557885</v>
      </c>
      <c r="H99" s="119">
        <f>(251965/4973534)*60</f>
        <v>3.0396695790156456</v>
      </c>
      <c r="I99" s="117">
        <v>139.03</v>
      </c>
      <c r="J99" s="117">
        <f t="shared" si="42"/>
        <v>0.21130263078527262</v>
      </c>
      <c r="K99" s="110">
        <f t="shared" si="43"/>
        <v>10.047169919115865</v>
      </c>
      <c r="L99" s="110">
        <f t="shared" si="44"/>
        <v>0.30166309019102511</v>
      </c>
      <c r="M99" s="111">
        <f t="shared" si="45"/>
        <v>0.69833690980897489</v>
      </c>
      <c r="N99" s="111">
        <v>8.83</v>
      </c>
      <c r="O99" s="116">
        <f t="shared" si="39"/>
        <v>1.2171699191158645</v>
      </c>
    </row>
    <row r="100" spans="1:15" x14ac:dyDescent="0.2">
      <c r="A100" t="s">
        <v>175</v>
      </c>
      <c r="B100" s="119">
        <f>1929027/(5011324*2/60)</f>
        <v>11.548008071320075</v>
      </c>
      <c r="C100" s="111">
        <v>29.72</v>
      </c>
      <c r="D100" s="111">
        <f t="shared" si="41"/>
        <v>3.4320679987963261</v>
      </c>
      <c r="E100" s="119">
        <f>3669213/(5011324)*60</f>
        <v>43.931060933198495</v>
      </c>
      <c r="F100" s="110">
        <v>289.77999999999997</v>
      </c>
      <c r="G100" s="112">
        <f t="shared" si="46"/>
        <v>6.365171418611129</v>
      </c>
      <c r="H100" s="119">
        <f>(262266/5011324)*60</f>
        <v>3.1400803460323061</v>
      </c>
      <c r="I100" s="117">
        <v>120</v>
      </c>
      <c r="J100" s="117">
        <f t="shared" si="42"/>
        <v>0.18840482076193837</v>
      </c>
      <c r="K100" s="110">
        <f t="shared" si="43"/>
        <v>9.9856442381693942</v>
      </c>
      <c r="L100" s="110">
        <f t="shared" si="44"/>
        <v>0.34370020771193682</v>
      </c>
      <c r="M100" s="111">
        <f t="shared" si="45"/>
        <v>0.65629979228806312</v>
      </c>
      <c r="N100" s="111">
        <v>8.9</v>
      </c>
      <c r="O100" s="116">
        <f t="shared" si="39"/>
        <v>1.0856442381693938</v>
      </c>
    </row>
    <row r="101" spans="1:15" x14ac:dyDescent="0.2">
      <c r="A101" t="s">
        <v>176</v>
      </c>
      <c r="B101" s="119">
        <f>1864887/(4814044*2/60)</f>
        <v>11.621541057788422</v>
      </c>
      <c r="C101" s="111">
        <v>28.89</v>
      </c>
      <c r="D101" s="111">
        <f t="shared" si="41"/>
        <v>3.3574632115950749</v>
      </c>
      <c r="E101" s="119">
        <f>3539791/(4814044)*60</f>
        <v>44.118304693517544</v>
      </c>
      <c r="F101" s="110">
        <v>279.56</v>
      </c>
      <c r="G101" s="112">
        <f t="shared" si="46"/>
        <v>6.1668566300598826</v>
      </c>
      <c r="H101" s="119">
        <f>(256884/4814044)*60</f>
        <v>3.2016824108795019</v>
      </c>
      <c r="I101" s="117">
        <v>108.13</v>
      </c>
      <c r="J101" s="117">
        <f t="shared" si="42"/>
        <v>0.17309895954420026</v>
      </c>
      <c r="K101" s="110">
        <f t="shared" si="43"/>
        <v>9.6974188011991576</v>
      </c>
      <c r="L101" s="110">
        <f t="shared" si="44"/>
        <v>0.3462223587971574</v>
      </c>
      <c r="M101" s="111">
        <f t="shared" si="45"/>
        <v>0.65377764120284254</v>
      </c>
      <c r="N101" s="111">
        <v>8.81</v>
      </c>
      <c r="O101" s="116">
        <f t="shared" si="39"/>
        <v>0.88741880119915706</v>
      </c>
    </row>
    <row r="102" spans="1:15" x14ac:dyDescent="0.2">
      <c r="A102" t="s">
        <v>177</v>
      </c>
      <c r="B102" s="119">
        <f>1795866/(4638663*2/60)</f>
        <v>11.614549278531335</v>
      </c>
      <c r="C102" s="111">
        <v>29.79</v>
      </c>
      <c r="D102" s="111">
        <f t="shared" si="41"/>
        <v>3.4599742300744847</v>
      </c>
      <c r="E102" s="119">
        <f>3425236/(4638663)*60</f>
        <v>44.304611048485306</v>
      </c>
      <c r="F102" s="110">
        <v>273.61</v>
      </c>
      <c r="G102" s="112">
        <f t="shared" si="46"/>
        <v>6.0610923144880324</v>
      </c>
      <c r="H102" s="119">
        <f>(241078/4638663)*60</f>
        <v>3.1182864545236417</v>
      </c>
      <c r="I102" s="117">
        <v>109.15</v>
      </c>
      <c r="J102" s="117">
        <f t="shared" si="42"/>
        <v>0.17018048325562776</v>
      </c>
      <c r="K102" s="110">
        <f t="shared" si="43"/>
        <v>9.6912470278181448</v>
      </c>
      <c r="L102" s="110">
        <f t="shared" si="44"/>
        <v>0.35702053823856061</v>
      </c>
      <c r="M102" s="111">
        <f t="shared" si="45"/>
        <v>0.64297946176143939</v>
      </c>
      <c r="N102" s="111">
        <v>8.82</v>
      </c>
      <c r="O102" s="116">
        <f t="shared" si="39"/>
        <v>0.87124702781814456</v>
      </c>
    </row>
    <row r="103" spans="1:15" x14ac:dyDescent="0.2">
      <c r="A103" t="s">
        <v>178</v>
      </c>
      <c r="B103" s="119">
        <f>1943537/(4991626*2/60)</f>
        <v>11.680784978682297</v>
      </c>
      <c r="C103" s="111">
        <v>30.86</v>
      </c>
      <c r="D103" s="111">
        <f t="shared" si="41"/>
        <v>3.6046902444213567</v>
      </c>
      <c r="E103" s="119">
        <f>3677248/(4991626)*60</f>
        <v>44.201003841233302</v>
      </c>
      <c r="F103" s="110">
        <v>276.22000000000003</v>
      </c>
      <c r="G103" s="112">
        <f t="shared" si="46"/>
        <v>6.1046006405127322</v>
      </c>
      <c r="H103" s="119">
        <f>(260298/4991626)*60</f>
        <v>3.1288161412734046</v>
      </c>
      <c r="I103" s="117">
        <v>104.2</v>
      </c>
      <c r="J103" s="117">
        <f t="shared" si="42"/>
        <v>0.1630113209603444</v>
      </c>
      <c r="K103" s="110">
        <f t="shared" si="43"/>
        <v>9.8723022058944316</v>
      </c>
      <c r="L103" s="110">
        <f t="shared" si="44"/>
        <v>0.36513167539270758</v>
      </c>
      <c r="M103" s="111">
        <f t="shared" si="45"/>
        <v>0.63486832460729259</v>
      </c>
      <c r="N103" s="111">
        <v>8.9600000000000009</v>
      </c>
      <c r="O103" s="116">
        <f t="shared" si="39"/>
        <v>0.91230220589443078</v>
      </c>
    </row>
    <row r="104" spans="1:15" x14ac:dyDescent="0.2">
      <c r="A104" t="s">
        <v>179</v>
      </c>
      <c r="B104" s="119">
        <f>1840263/(4745090*2/60)</f>
        <v>11.63474033158486</v>
      </c>
      <c r="C104" s="111">
        <v>32.450000000000003</v>
      </c>
      <c r="D104" s="111">
        <f t="shared" si="41"/>
        <v>3.7754732375992877</v>
      </c>
      <c r="E104" s="119">
        <f>3502911/(4745090)*60</f>
        <v>44.293081901502397</v>
      </c>
      <c r="F104" s="110">
        <v>303.81</v>
      </c>
      <c r="G104" s="112">
        <f t="shared" si="46"/>
        <v>6.7283406062477216</v>
      </c>
      <c r="H104" s="119">
        <f>(243761/4745090)*60</f>
        <v>3.0822724121144169</v>
      </c>
      <c r="I104" s="117">
        <v>88.21</v>
      </c>
      <c r="J104" s="117">
        <f t="shared" si="42"/>
        <v>0.13594362473630636</v>
      </c>
      <c r="K104" s="110">
        <f t="shared" si="43"/>
        <v>10.639757468583316</v>
      </c>
      <c r="L104" s="110">
        <f t="shared" si="44"/>
        <v>0.35484579876443295</v>
      </c>
      <c r="M104" s="111">
        <f t="shared" si="45"/>
        <v>0.6451542012355671</v>
      </c>
      <c r="N104" s="111">
        <v>9.61</v>
      </c>
      <c r="O104" s="116">
        <f t="shared" si="39"/>
        <v>1.0297574685833162</v>
      </c>
    </row>
    <row r="105" spans="1:15" x14ac:dyDescent="0.2">
      <c r="A105" t="s">
        <v>180</v>
      </c>
      <c r="B105" s="119">
        <f>1876184/(4825833*2/60)</f>
        <v>11.663379151329936</v>
      </c>
      <c r="C105" s="111">
        <v>30.76</v>
      </c>
      <c r="D105" s="111">
        <f t="shared" si="41"/>
        <v>3.5876554269490883</v>
      </c>
      <c r="E105" s="119">
        <f>3561181/(4825833)*60</f>
        <v>44.276472061921744</v>
      </c>
      <c r="F105" s="110">
        <v>376.35</v>
      </c>
      <c r="G105" s="112">
        <f t="shared" si="46"/>
        <v>8.331725130252126</v>
      </c>
      <c r="H105" s="119">
        <f>(246358/4825833)*60</f>
        <v>3.0629903687094018</v>
      </c>
      <c r="I105" s="117">
        <v>89.76</v>
      </c>
      <c r="J105" s="117">
        <f t="shared" si="42"/>
        <v>0.13746700774767798</v>
      </c>
      <c r="K105" s="110">
        <f t="shared" si="43"/>
        <v>12.056847564948892</v>
      </c>
      <c r="L105" s="110">
        <f t="shared" si="44"/>
        <v>0.29756164765481102</v>
      </c>
      <c r="M105" s="111">
        <f t="shared" si="45"/>
        <v>0.70243835234518892</v>
      </c>
      <c r="N105" s="111">
        <v>10.49</v>
      </c>
      <c r="O105" s="116">
        <f t="shared" si="39"/>
        <v>1.5668475649488922</v>
      </c>
    </row>
    <row r="106" spans="1:15" x14ac:dyDescent="0.2">
      <c r="A106" t="s">
        <v>191</v>
      </c>
      <c r="B106" s="119">
        <f>1787234/(4623752*2/60)</f>
        <v>11.595998228278678</v>
      </c>
      <c r="C106" s="111">
        <v>30.35</v>
      </c>
      <c r="D106" s="111">
        <f t="shared" si="41"/>
        <v>3.5193854622825791</v>
      </c>
      <c r="E106" s="119">
        <f>3411099/(4623752)*60</f>
        <v>44.264039247779728</v>
      </c>
      <c r="F106" s="110">
        <v>408.57</v>
      </c>
      <c r="G106" s="112">
        <f t="shared" si="46"/>
        <v>9.0424792577326816</v>
      </c>
      <c r="H106" s="119">
        <f>(235294/4623752)*60</f>
        <v>3.053286594955785</v>
      </c>
      <c r="I106" s="117">
        <v>93.07</v>
      </c>
      <c r="J106" s="117">
        <f t="shared" si="42"/>
        <v>0.14208469169626745</v>
      </c>
      <c r="K106" s="110">
        <f t="shared" si="43"/>
        <v>12.703949411711529</v>
      </c>
      <c r="L106" s="110">
        <f t="shared" si="44"/>
        <v>0.27703081523908812</v>
      </c>
      <c r="M106" s="111">
        <f t="shared" si="45"/>
        <v>0.72296918476091176</v>
      </c>
      <c r="N106" s="111">
        <v>11.4</v>
      </c>
      <c r="O106" s="116">
        <f t="shared" si="39"/>
        <v>1.3039494117115282</v>
      </c>
    </row>
    <row r="107" spans="1:15" x14ac:dyDescent="0.2">
      <c r="A107" t="s">
        <v>192</v>
      </c>
      <c r="B107" s="119">
        <f>1789356/(4603543*2/60)</f>
        <v>11.660731745092857</v>
      </c>
      <c r="C107" s="111">
        <v>28.75</v>
      </c>
      <c r="D107" s="111">
        <f t="shared" si="41"/>
        <v>3.3524603767141965</v>
      </c>
      <c r="E107" s="119">
        <f>3403386/(4603543)*60</f>
        <v>44.357826135218026</v>
      </c>
      <c r="F107" s="110">
        <v>371.49</v>
      </c>
      <c r="G107" s="112">
        <f t="shared" si="46"/>
        <v>8.2392444154860733</v>
      </c>
      <c r="H107" s="119">
        <f>(240805/4603543)*60</f>
        <v>3.1385174418920383</v>
      </c>
      <c r="I107" s="117">
        <v>93.5</v>
      </c>
      <c r="J107" s="117">
        <f t="shared" si="42"/>
        <v>0.14672569040845279</v>
      </c>
      <c r="K107" s="110">
        <f t="shared" si="43"/>
        <v>11.738430482608722</v>
      </c>
      <c r="L107" s="110">
        <f t="shared" si="44"/>
        <v>0.28559698689540253</v>
      </c>
      <c r="M107" s="111">
        <f t="shared" si="45"/>
        <v>0.71440301310459753</v>
      </c>
      <c r="N107" s="111">
        <v>10.59</v>
      </c>
      <c r="O107" s="116">
        <f t="shared" si="39"/>
        <v>1.1484304826087222</v>
      </c>
    </row>
    <row r="108" spans="1:15" x14ac:dyDescent="0.2">
      <c r="A108" t="s">
        <v>193</v>
      </c>
      <c r="B108" s="119">
        <f>1642478/(4218789*2/60)</f>
        <v>11.679735582888835</v>
      </c>
      <c r="C108" s="111">
        <v>31.21</v>
      </c>
      <c r="D108" s="111">
        <f>(B108*C108)/100</f>
        <v>3.6452454754196055</v>
      </c>
      <c r="E108" s="119">
        <f>3111301/(4218789)*60</f>
        <v>44.24920516290338</v>
      </c>
      <c r="F108" s="110">
        <v>340.8</v>
      </c>
      <c r="G108" s="112">
        <f>E108*F108/2000</f>
        <v>7.5400645597587364</v>
      </c>
      <c r="H108" s="119">
        <f>(217058/4218789)*60</f>
        <v>3.0870185733394107</v>
      </c>
      <c r="I108" s="117">
        <v>106.52</v>
      </c>
      <c r="J108" s="117">
        <f t="shared" si="42"/>
        <v>0.16441460921605702</v>
      </c>
      <c r="K108" s="110">
        <f t="shared" si="43"/>
        <v>11.349724644394399</v>
      </c>
      <c r="L108" s="110">
        <f t="shared" si="44"/>
        <v>0.32117479407044319</v>
      </c>
      <c r="M108" s="111">
        <f t="shared" si="45"/>
        <v>0.67882520592955675</v>
      </c>
      <c r="N108" s="111">
        <v>10.24</v>
      </c>
      <c r="O108" s="116">
        <f t="shared" si="39"/>
        <v>1.1097246443943991</v>
      </c>
    </row>
    <row r="109" spans="1:15" x14ac:dyDescent="0.2">
      <c r="A109" s="21" t="s">
        <v>237</v>
      </c>
      <c r="B109" s="119">
        <f>(21864904)/(56587104*2/60)</f>
        <v>11.591812862520761</v>
      </c>
      <c r="C109" s="110">
        <f>AVERAGE(C97:C108)</f>
        <v>29.397499999999997</v>
      </c>
      <c r="D109" s="111">
        <f>(B109*C109)/100</f>
        <v>3.4077031862595408</v>
      </c>
      <c r="E109" s="119">
        <f>41673687/(56587104)*60</f>
        <v>44.187121150430315</v>
      </c>
      <c r="F109" s="110">
        <f>AVERAGE(F97:F108)</f>
        <v>324.19833333333332</v>
      </c>
      <c r="G109" s="112">
        <f>E109*F109/2000</f>
        <v>7.1626955158837955</v>
      </c>
      <c r="H109" s="119">
        <f>2915670/(56587104)*60</f>
        <v>3.0915206404625337</v>
      </c>
      <c r="I109" s="117">
        <f>AVERAGE(I97:I108)</f>
        <v>113.01833333333333</v>
      </c>
      <c r="J109" s="117">
        <f t="shared" si="42"/>
        <v>0.1746992551253374</v>
      </c>
      <c r="K109" s="110">
        <f t="shared" si="43"/>
        <v>10.745097957268674</v>
      </c>
      <c r="L109" s="110">
        <f t="shared" si="44"/>
        <v>0.31714026245375937</v>
      </c>
      <c r="M109" s="111">
        <f t="shared" si="45"/>
        <v>0.68285973754624052</v>
      </c>
      <c r="N109" s="111">
        <f>AVERAGE(N97:N108)</f>
        <v>9.5408333333333335</v>
      </c>
      <c r="O109" s="116">
        <f t="shared" si="39"/>
        <v>1.2042646239353409</v>
      </c>
    </row>
    <row r="110" spans="1:15" x14ac:dyDescent="0.2">
      <c r="A110" s="28" t="s">
        <v>44</v>
      </c>
      <c r="B110" s="120"/>
      <c r="C110" s="111"/>
      <c r="D110" s="111"/>
      <c r="E110" s="120"/>
      <c r="F110" s="111"/>
      <c r="G110" s="115"/>
      <c r="H110" s="120"/>
      <c r="I110" s="118"/>
      <c r="J110" s="118"/>
      <c r="K110" s="111"/>
      <c r="L110" s="111"/>
      <c r="M110" s="111"/>
      <c r="N110" s="118"/>
      <c r="O110" s="116"/>
    </row>
    <row r="111" spans="1:15" x14ac:dyDescent="0.2">
      <c r="A111" t="s">
        <v>172</v>
      </c>
      <c r="B111" s="121">
        <v>11.691942252763255</v>
      </c>
      <c r="C111" s="122">
        <v>31.99</v>
      </c>
      <c r="D111" s="111">
        <f t="shared" ref="D111:D121" si="47">(B111*C111)/100</f>
        <v>3.7402523266589651</v>
      </c>
      <c r="E111" s="121">
        <v>44.006400180520387</v>
      </c>
      <c r="F111" s="123">
        <v>337.95</v>
      </c>
      <c r="G111" s="112">
        <f>E111*F111/2000</f>
        <v>7.4359814705034326</v>
      </c>
      <c r="H111" s="121">
        <v>3.1119949624012295</v>
      </c>
      <c r="I111" s="124">
        <v>106.43</v>
      </c>
      <c r="J111" s="117">
        <f t="shared" ref="J111:J123" si="48">H111*I111/2000</f>
        <v>0.16560481192418144</v>
      </c>
      <c r="K111" s="110">
        <f t="shared" ref="K111:K123" si="49">D111+G111+J111</f>
        <v>11.341838609086579</v>
      </c>
      <c r="L111" s="110">
        <f t="shared" ref="L111:L123" si="50">D111/K111</f>
        <v>0.32977477951964862</v>
      </c>
      <c r="M111" s="111">
        <f t="shared" ref="M111:M123" si="51">(+G111+J111)/K111</f>
        <v>0.67022522048035127</v>
      </c>
      <c r="N111" s="122">
        <v>9.76</v>
      </c>
      <c r="O111" s="116">
        <f t="shared" ref="O111:O123" si="52">K111-N111</f>
        <v>1.5818386090865797</v>
      </c>
    </row>
    <row r="112" spans="1:15" x14ac:dyDescent="0.2">
      <c r="A112" t="s">
        <v>173</v>
      </c>
      <c r="B112" s="121">
        <v>11.533501439898112</v>
      </c>
      <c r="C112" s="122">
        <v>33.86</v>
      </c>
      <c r="D112" s="111">
        <f t="shared" si="47"/>
        <v>3.9052435875495006</v>
      </c>
      <c r="E112" s="121">
        <v>43.553719713100655</v>
      </c>
      <c r="F112" s="123">
        <v>323.27</v>
      </c>
      <c r="G112" s="112">
        <f t="shared" ref="G112:G121" si="53">E112*F112/2000</f>
        <v>7.0398054858270243</v>
      </c>
      <c r="H112" s="121">
        <v>3.1148080657037025</v>
      </c>
      <c r="I112" s="124">
        <v>109.88</v>
      </c>
      <c r="J112" s="117">
        <f t="shared" si="48"/>
        <v>0.17112755512976141</v>
      </c>
      <c r="K112" s="110">
        <f t="shared" si="49"/>
        <v>11.116176628506286</v>
      </c>
      <c r="L112" s="110">
        <f t="shared" si="50"/>
        <v>0.35131176105414763</v>
      </c>
      <c r="M112" s="111">
        <f t="shared" si="51"/>
        <v>0.64868823894585237</v>
      </c>
      <c r="N112" s="122">
        <v>9.56</v>
      </c>
      <c r="O112" s="116">
        <f t="shared" si="52"/>
        <v>1.5561766285062859</v>
      </c>
    </row>
    <row r="113" spans="1:15" x14ac:dyDescent="0.2">
      <c r="A113" t="s">
        <v>174</v>
      </c>
      <c r="B113" s="121">
        <v>11.487161946084742</v>
      </c>
      <c r="C113" s="122">
        <v>34.520000000000003</v>
      </c>
      <c r="D113" s="111">
        <f t="shared" si="47"/>
        <v>3.9653683037884533</v>
      </c>
      <c r="E113" s="121">
        <v>43.800061616098901</v>
      </c>
      <c r="F113" s="123">
        <v>322.41000000000003</v>
      </c>
      <c r="G113" s="112">
        <f t="shared" si="53"/>
        <v>7.0607889328232236</v>
      </c>
      <c r="H113" s="121">
        <v>3.2027954497799507</v>
      </c>
      <c r="I113" s="124">
        <v>105.26</v>
      </c>
      <c r="J113" s="117">
        <f t="shared" si="48"/>
        <v>0.16856312452191882</v>
      </c>
      <c r="K113" s="110">
        <f t="shared" si="49"/>
        <v>11.194720361133596</v>
      </c>
      <c r="L113" s="110">
        <f t="shared" si="50"/>
        <v>0.35421771834119431</v>
      </c>
      <c r="M113" s="111">
        <f t="shared" si="51"/>
        <v>0.64578228165880569</v>
      </c>
      <c r="N113" s="122">
        <v>9.94</v>
      </c>
      <c r="O113" s="116">
        <f t="shared" si="52"/>
        <v>1.2547203611335966</v>
      </c>
    </row>
    <row r="114" spans="1:15" x14ac:dyDescent="0.2">
      <c r="A114" t="s">
        <v>175</v>
      </c>
      <c r="B114" s="121">
        <v>11.536105837077958</v>
      </c>
      <c r="C114" s="122">
        <v>35.57</v>
      </c>
      <c r="D114" s="111">
        <f t="shared" si="47"/>
        <v>4.1033928462486298</v>
      </c>
      <c r="E114" s="121">
        <v>43.663686413448659</v>
      </c>
      <c r="F114" s="123">
        <v>321.02</v>
      </c>
      <c r="G114" s="112">
        <f t="shared" si="53"/>
        <v>7.0084583062226438</v>
      </c>
      <c r="H114" s="121">
        <v>3.2354850928513557</v>
      </c>
      <c r="I114" s="124">
        <v>113.45</v>
      </c>
      <c r="J114" s="117">
        <f t="shared" si="48"/>
        <v>0.18353289189199315</v>
      </c>
      <c r="K114" s="110">
        <f t="shared" si="49"/>
        <v>11.295384044363267</v>
      </c>
      <c r="L114" s="110">
        <f t="shared" si="50"/>
        <v>0.36328050734108019</v>
      </c>
      <c r="M114" s="111">
        <f t="shared" si="51"/>
        <v>0.63671949265891969</v>
      </c>
      <c r="N114" s="122">
        <v>10.16</v>
      </c>
      <c r="O114" s="116">
        <f t="shared" si="52"/>
        <v>1.135384044363267</v>
      </c>
    </row>
    <row r="115" spans="1:15" x14ac:dyDescent="0.2">
      <c r="A115" t="s">
        <v>176</v>
      </c>
      <c r="B115" s="121">
        <v>11.575704245966788</v>
      </c>
      <c r="C115" s="122">
        <v>33.58</v>
      </c>
      <c r="D115" s="111">
        <f t="shared" si="47"/>
        <v>3.8871214857956473</v>
      </c>
      <c r="E115" s="121">
        <v>43.933777812124575</v>
      </c>
      <c r="F115" s="123">
        <v>332.34</v>
      </c>
      <c r="G115" s="112">
        <f t="shared" si="53"/>
        <v>7.3004758590407404</v>
      </c>
      <c r="H115" s="121">
        <v>3.05264193228841</v>
      </c>
      <c r="I115" s="124">
        <v>159.25</v>
      </c>
      <c r="J115" s="117">
        <f t="shared" si="48"/>
        <v>0.24306661385846465</v>
      </c>
      <c r="K115" s="110">
        <f t="shared" si="49"/>
        <v>11.430663958694852</v>
      </c>
      <c r="L115" s="110">
        <f t="shared" si="50"/>
        <v>0.34006086609158587</v>
      </c>
      <c r="M115" s="111">
        <f t="shared" si="51"/>
        <v>0.65993913390841408</v>
      </c>
      <c r="N115" s="122">
        <v>10.26</v>
      </c>
      <c r="O115" s="116">
        <f t="shared" si="52"/>
        <v>1.1706639586948526</v>
      </c>
    </row>
    <row r="116" spans="1:15" x14ac:dyDescent="0.2">
      <c r="A116" t="s">
        <v>177</v>
      </c>
      <c r="B116" s="121">
        <v>11.605993084461053</v>
      </c>
      <c r="C116" s="122">
        <v>32</v>
      </c>
      <c r="D116" s="111">
        <f t="shared" si="47"/>
        <v>3.7139177870275368</v>
      </c>
      <c r="E116" s="121">
        <v>43.999622082396634</v>
      </c>
      <c r="F116" s="123">
        <v>334.42</v>
      </c>
      <c r="G116" s="112">
        <f t="shared" si="53"/>
        <v>7.3571768083975408</v>
      </c>
      <c r="H116" s="121">
        <v>3.011292495863215</v>
      </c>
      <c r="I116" s="124">
        <v>142.5</v>
      </c>
      <c r="J116" s="117">
        <f t="shared" si="48"/>
        <v>0.21455459033025406</v>
      </c>
      <c r="K116" s="110">
        <f t="shared" si="49"/>
        <v>11.28564918575533</v>
      </c>
      <c r="L116" s="110">
        <f t="shared" si="50"/>
        <v>0.32908322116863409</v>
      </c>
      <c r="M116" s="111">
        <f t="shared" si="51"/>
        <v>0.67091677883136602</v>
      </c>
      <c r="N116" s="122">
        <v>10.26</v>
      </c>
      <c r="O116" s="116">
        <f t="shared" si="52"/>
        <v>1.0256491857553307</v>
      </c>
    </row>
    <row r="117" spans="1:15" x14ac:dyDescent="0.2">
      <c r="A117" t="s">
        <v>178</v>
      </c>
      <c r="B117" s="121">
        <v>11.606536762518406</v>
      </c>
      <c r="C117" s="122">
        <v>30.86</v>
      </c>
      <c r="D117" s="111">
        <f t="shared" si="47"/>
        <v>3.5817772449131797</v>
      </c>
      <c r="E117" s="121">
        <v>43.898686930891586</v>
      </c>
      <c r="F117" s="123">
        <v>320.33999999999997</v>
      </c>
      <c r="G117" s="112">
        <f t="shared" si="53"/>
        <v>7.0312526857209052</v>
      </c>
      <c r="H117" s="121">
        <v>3.0425295392633247</v>
      </c>
      <c r="I117" s="124">
        <v>113.37</v>
      </c>
      <c r="J117" s="117">
        <f t="shared" si="48"/>
        <v>0.17246578693314157</v>
      </c>
      <c r="K117" s="110">
        <f t="shared" si="49"/>
        <v>10.785495717567226</v>
      </c>
      <c r="L117" s="110">
        <f t="shared" si="50"/>
        <v>0.33209203718650077</v>
      </c>
      <c r="M117" s="111">
        <f t="shared" si="51"/>
        <v>0.66790796281349929</v>
      </c>
      <c r="N117" s="122">
        <v>9.86</v>
      </c>
      <c r="O117" s="116">
        <f t="shared" si="52"/>
        <v>0.92549571756722671</v>
      </c>
    </row>
    <row r="118" spans="1:15" x14ac:dyDescent="0.2">
      <c r="A118" t="s">
        <v>179</v>
      </c>
      <c r="B118" s="121">
        <v>11.562921636909387</v>
      </c>
      <c r="C118" s="122">
        <v>29.57</v>
      </c>
      <c r="D118" s="111">
        <f t="shared" si="47"/>
        <v>3.4191559280341055</v>
      </c>
      <c r="E118" s="121">
        <v>43.917273141258683</v>
      </c>
      <c r="F118" s="123">
        <v>305.67</v>
      </c>
      <c r="G118" s="112">
        <f t="shared" si="53"/>
        <v>6.7120964405442711</v>
      </c>
      <c r="H118" s="121">
        <v>2.9599996082713504</v>
      </c>
      <c r="I118" s="124">
        <v>107.89</v>
      </c>
      <c r="J118" s="117">
        <f t="shared" si="48"/>
        <v>0.15967717886819802</v>
      </c>
      <c r="K118" s="110">
        <f t="shared" si="49"/>
        <v>10.290929547446575</v>
      </c>
      <c r="L118" s="110">
        <f t="shared" si="50"/>
        <v>0.33224947389543441</v>
      </c>
      <c r="M118" s="111">
        <f t="shared" si="51"/>
        <v>0.66775052610456553</v>
      </c>
      <c r="N118" s="122">
        <v>9.3699999999999992</v>
      </c>
      <c r="O118" s="116">
        <f t="shared" si="52"/>
        <v>0.92092954744657618</v>
      </c>
    </row>
    <row r="119" spans="1:15" x14ac:dyDescent="0.2">
      <c r="A119" t="s">
        <v>180</v>
      </c>
      <c r="B119" s="121">
        <v>11.645782176505522</v>
      </c>
      <c r="C119" s="122">
        <v>30.6</v>
      </c>
      <c r="D119" s="111">
        <f t="shared" si="47"/>
        <v>3.5636093460106899</v>
      </c>
      <c r="E119" s="121">
        <v>44.200503821899851</v>
      </c>
      <c r="F119" s="123">
        <v>307.63</v>
      </c>
      <c r="G119" s="112">
        <f t="shared" si="53"/>
        <v>6.7987004953655248</v>
      </c>
      <c r="H119" s="121">
        <v>3.0431249674143457</v>
      </c>
      <c r="I119" s="124">
        <v>107</v>
      </c>
      <c r="J119" s="117">
        <f t="shared" si="48"/>
        <v>0.1628071857566675</v>
      </c>
      <c r="K119" s="110">
        <f t="shared" si="49"/>
        <v>10.525117027132882</v>
      </c>
      <c r="L119" s="110">
        <f t="shared" si="50"/>
        <v>0.33858144634629711</v>
      </c>
      <c r="M119" s="111">
        <f t="shared" si="51"/>
        <v>0.66141855365370295</v>
      </c>
      <c r="N119" s="122">
        <v>9.49</v>
      </c>
      <c r="O119" s="116">
        <f t="shared" si="52"/>
        <v>1.0351170271328822</v>
      </c>
    </row>
    <row r="120" spans="1:15" x14ac:dyDescent="0.2">
      <c r="A120" t="s">
        <v>191</v>
      </c>
      <c r="B120" s="121">
        <v>11.708982264576175</v>
      </c>
      <c r="C120" s="122">
        <v>30.74</v>
      </c>
      <c r="D120" s="111">
        <f t="shared" si="47"/>
        <v>3.5993411481307156</v>
      </c>
      <c r="E120" s="121">
        <v>44.099361729830669</v>
      </c>
      <c r="F120" s="123">
        <v>300.72000000000003</v>
      </c>
      <c r="G120" s="112">
        <f t="shared" si="53"/>
        <v>6.6307800296973403</v>
      </c>
      <c r="H120" s="121">
        <v>2.9836313823924865</v>
      </c>
      <c r="I120" s="124">
        <v>103.25</v>
      </c>
      <c r="J120" s="117">
        <f t="shared" si="48"/>
        <v>0.15402997011601213</v>
      </c>
      <c r="K120" s="110">
        <f t="shared" si="49"/>
        <v>10.384151147944069</v>
      </c>
      <c r="L120" s="110">
        <f t="shared" si="50"/>
        <v>0.34661871700927038</v>
      </c>
      <c r="M120" s="111">
        <f t="shared" si="51"/>
        <v>0.65338128299072951</v>
      </c>
      <c r="N120" s="122">
        <v>9.23</v>
      </c>
      <c r="O120" s="116">
        <f t="shared" si="52"/>
        <v>1.1541511479440683</v>
      </c>
    </row>
    <row r="121" spans="1:15" x14ac:dyDescent="0.2">
      <c r="A121" t="s">
        <v>192</v>
      </c>
      <c r="B121" s="121">
        <v>11.575280379036474</v>
      </c>
      <c r="C121" s="122">
        <v>32.82</v>
      </c>
      <c r="D121" s="111">
        <f t="shared" si="47"/>
        <v>3.7990070203997708</v>
      </c>
      <c r="E121" s="121">
        <v>43.703813497605324</v>
      </c>
      <c r="F121" s="123">
        <v>326.04000000000002</v>
      </c>
      <c r="G121" s="112">
        <f t="shared" si="53"/>
        <v>7.1245956763796201</v>
      </c>
      <c r="H121" s="121">
        <v>3.0513806900451521</v>
      </c>
      <c r="I121" s="124">
        <v>107.4</v>
      </c>
      <c r="J121" s="117">
        <f t="shared" si="48"/>
        <v>0.16385914305542468</v>
      </c>
      <c r="K121" s="110">
        <f t="shared" si="49"/>
        <v>11.087461839834814</v>
      </c>
      <c r="L121" s="110">
        <f t="shared" si="50"/>
        <v>0.34263991843027347</v>
      </c>
      <c r="M121" s="111">
        <f t="shared" si="51"/>
        <v>0.65736008156972658</v>
      </c>
      <c r="N121" s="122">
        <v>9.91</v>
      </c>
      <c r="O121" s="116">
        <f t="shared" si="52"/>
        <v>1.1774618398348142</v>
      </c>
    </row>
    <row r="122" spans="1:15" x14ac:dyDescent="0.2">
      <c r="A122" t="s">
        <v>193</v>
      </c>
      <c r="B122" s="121">
        <v>11.622543855329297</v>
      </c>
      <c r="C122" s="122">
        <v>33.17</v>
      </c>
      <c r="D122" s="111">
        <f>(B122*C122)/100</f>
        <v>3.8551977968127282</v>
      </c>
      <c r="E122" s="121">
        <v>43.78262548058828</v>
      </c>
      <c r="F122" s="123">
        <v>301.05</v>
      </c>
      <c r="G122" s="112">
        <f>E122*F122/2000</f>
        <v>6.5903797004655509</v>
      </c>
      <c r="H122" s="121">
        <v>3.1305159926412394</v>
      </c>
      <c r="I122" s="124">
        <v>111.5</v>
      </c>
      <c r="J122" s="117">
        <f t="shared" si="48"/>
        <v>0.1745262665897491</v>
      </c>
      <c r="K122" s="110">
        <f t="shared" si="49"/>
        <v>10.620103763868029</v>
      </c>
      <c r="L122" s="110">
        <f t="shared" si="50"/>
        <v>0.36300942839456751</v>
      </c>
      <c r="M122" s="111">
        <f t="shared" si="51"/>
        <v>0.63699057160543238</v>
      </c>
      <c r="N122" s="122">
        <v>9.39</v>
      </c>
      <c r="O122" s="116">
        <f t="shared" si="52"/>
        <v>1.2301037638680281</v>
      </c>
    </row>
    <row r="123" spans="1:15" x14ac:dyDescent="0.2">
      <c r="A123" s="16" t="s">
        <v>237</v>
      </c>
      <c r="B123" s="125">
        <v>11.592690187709689</v>
      </c>
      <c r="C123" s="126">
        <v>32.440000000000005</v>
      </c>
      <c r="D123" s="127">
        <f>(B123*C123)/100</f>
        <v>3.7606686968930232</v>
      </c>
      <c r="E123" s="128">
        <v>43.872854997955756</v>
      </c>
      <c r="F123" s="127">
        <v>319.40500000000003</v>
      </c>
      <c r="G123" s="129">
        <f>E123*F123/2000</f>
        <v>7.0066046253110299</v>
      </c>
      <c r="H123" s="125">
        <v>3.0810020981893329</v>
      </c>
      <c r="I123" s="130">
        <v>115.59833333333334</v>
      </c>
      <c r="J123" s="131">
        <f t="shared" si="48"/>
        <v>0.17807935377359496</v>
      </c>
      <c r="K123" s="127">
        <f t="shared" si="49"/>
        <v>10.945352675977649</v>
      </c>
      <c r="L123" s="127">
        <f t="shared" si="50"/>
        <v>0.34358588601231316</v>
      </c>
      <c r="M123" s="127">
        <f t="shared" si="51"/>
        <v>0.65641411398768679</v>
      </c>
      <c r="N123" s="126">
        <v>9.7658333333333331</v>
      </c>
      <c r="O123" s="132">
        <f t="shared" si="52"/>
        <v>1.1795193426443156</v>
      </c>
    </row>
    <row r="124" spans="1:15" x14ac:dyDescent="0.2">
      <c r="A124" s="28" t="s">
        <v>238</v>
      </c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4"/>
    </row>
    <row r="125" spans="1:15" x14ac:dyDescent="0.2">
      <c r="A125" s="133" t="s">
        <v>239</v>
      </c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4"/>
    </row>
    <row r="126" spans="1:15" x14ac:dyDescent="0.2">
      <c r="A126" t="s">
        <v>240</v>
      </c>
    </row>
    <row r="127" spans="1:15" x14ac:dyDescent="0.2">
      <c r="A127" t="s">
        <v>241</v>
      </c>
    </row>
    <row r="128" spans="1:15" ht="10.15" customHeight="1" x14ac:dyDescent="0.2">
      <c r="A128" t="s">
        <v>242</v>
      </c>
      <c r="N128" s="51"/>
      <c r="O128" s="51" t="s">
        <v>47</v>
      </c>
    </row>
  </sheetData>
  <pageMargins left="0.7" right="0.7" top="0.75" bottom="0.75" header="0.3" footer="0.3"/>
  <pageSetup scale="51" firstPageNumber="3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zoomScaleNormal="100" zoomScaleSheetLayoutView="90" workbookViewId="0">
      <pane ySplit="2" topLeftCell="A60" activePane="bottomLeft" state="frozen"/>
      <selection pane="bottomLeft"/>
    </sheetView>
  </sheetViews>
  <sheetFormatPr defaultRowHeight="11.25" x14ac:dyDescent="0.2"/>
  <cols>
    <col min="1" max="1" width="20.83203125" customWidth="1"/>
    <col min="2" max="4" width="26.83203125" customWidth="1"/>
  </cols>
  <sheetData>
    <row r="1" spans="1:4" x14ac:dyDescent="0.2">
      <c r="A1" s="15" t="s">
        <v>4</v>
      </c>
      <c r="B1" s="16"/>
      <c r="C1" s="16"/>
      <c r="D1" s="16"/>
    </row>
    <row r="2" spans="1:4" x14ac:dyDescent="0.2">
      <c r="A2" s="17" t="s">
        <v>18</v>
      </c>
      <c r="B2" s="18" t="s">
        <v>19</v>
      </c>
      <c r="C2" s="18" t="s">
        <v>20</v>
      </c>
      <c r="D2" s="18" t="s">
        <v>21</v>
      </c>
    </row>
    <row r="3" spans="1:4" x14ac:dyDescent="0.2">
      <c r="C3" s="19" t="s">
        <v>22</v>
      </c>
      <c r="D3" s="19"/>
    </row>
    <row r="4" spans="1:4" x14ac:dyDescent="0.2">
      <c r="A4" t="s">
        <v>23</v>
      </c>
      <c r="B4" s="20"/>
      <c r="C4" s="20"/>
      <c r="D4" s="20"/>
    </row>
    <row r="5" spans="1:4" x14ac:dyDescent="0.2">
      <c r="A5" t="s">
        <v>24</v>
      </c>
      <c r="B5" s="20">
        <v>1150000</v>
      </c>
      <c r="C5" s="20">
        <v>1032666</v>
      </c>
      <c r="D5" s="20">
        <f>B5+C5</f>
        <v>2182666</v>
      </c>
    </row>
    <row r="6" spans="1:4" x14ac:dyDescent="0.2">
      <c r="A6" t="s">
        <v>25</v>
      </c>
      <c r="B6" s="20">
        <v>730000</v>
      </c>
      <c r="C6" s="20">
        <v>665986</v>
      </c>
      <c r="D6" s="20">
        <f>B6+C6</f>
        <v>1395986</v>
      </c>
    </row>
    <row r="7" spans="1:4" x14ac:dyDescent="0.2">
      <c r="A7" t="s">
        <v>26</v>
      </c>
      <c r="B7" s="20">
        <v>370000</v>
      </c>
      <c r="C7" s="20">
        <v>404425</v>
      </c>
      <c r="D7" s="20">
        <f>B7+C7</f>
        <v>774425</v>
      </c>
    </row>
    <row r="8" spans="1:4" x14ac:dyDescent="0.2">
      <c r="A8" s="21" t="s">
        <v>27</v>
      </c>
      <c r="B8" s="20">
        <v>112500</v>
      </c>
      <c r="C8" s="20">
        <v>177662</v>
      </c>
      <c r="D8" s="20">
        <f>B8+C8</f>
        <v>290162</v>
      </c>
    </row>
    <row r="9" spans="1:4" x14ac:dyDescent="0.2">
      <c r="A9" t="s">
        <v>28</v>
      </c>
      <c r="B9" s="20"/>
      <c r="C9" s="20"/>
      <c r="D9" s="22"/>
    </row>
    <row r="10" spans="1:4" x14ac:dyDescent="0.2">
      <c r="A10" t="s">
        <v>24</v>
      </c>
      <c r="B10" s="20">
        <v>1217000</v>
      </c>
      <c r="C10" s="20">
        <v>1022991</v>
      </c>
      <c r="D10" s="20">
        <f>B10+C10</f>
        <v>2239991</v>
      </c>
    </row>
    <row r="11" spans="1:4" x14ac:dyDescent="0.2">
      <c r="A11" t="s">
        <v>25</v>
      </c>
      <c r="B11" s="20">
        <v>780000</v>
      </c>
      <c r="C11" s="20">
        <v>623908</v>
      </c>
      <c r="D11" s="20">
        <f>B11+C11</f>
        <v>1403908</v>
      </c>
    </row>
    <row r="12" spans="1:4" x14ac:dyDescent="0.2">
      <c r="A12" t="s">
        <v>26</v>
      </c>
      <c r="B12" s="20">
        <v>365000</v>
      </c>
      <c r="C12" s="20">
        <v>343180</v>
      </c>
      <c r="D12" s="20">
        <f>B12+C12</f>
        <v>708180</v>
      </c>
    </row>
    <row r="13" spans="1:4" x14ac:dyDescent="0.2">
      <c r="A13" s="21" t="s">
        <v>27</v>
      </c>
      <c r="B13" s="20">
        <v>83500</v>
      </c>
      <c r="C13" s="20">
        <v>164247</v>
      </c>
      <c r="D13" s="20">
        <f>B13+C13</f>
        <v>247747</v>
      </c>
    </row>
    <row r="14" spans="1:4" x14ac:dyDescent="0.2">
      <c r="A14" t="s">
        <v>29</v>
      </c>
      <c r="B14" s="20"/>
      <c r="C14" s="20"/>
      <c r="D14" s="23"/>
    </row>
    <row r="15" spans="1:4" x14ac:dyDescent="0.2">
      <c r="A15" t="s">
        <v>24</v>
      </c>
      <c r="B15" s="20">
        <v>1240000</v>
      </c>
      <c r="C15" s="20">
        <v>1035618</v>
      </c>
      <c r="D15" s="20">
        <f>B15+C15</f>
        <v>2275618</v>
      </c>
    </row>
    <row r="16" spans="1:4" x14ac:dyDescent="0.2">
      <c r="A16" t="s">
        <v>25</v>
      </c>
      <c r="B16" s="20">
        <v>687000</v>
      </c>
      <c r="C16" s="20">
        <v>648987</v>
      </c>
      <c r="D16" s="20">
        <f>B16+C16</f>
        <v>1335987</v>
      </c>
    </row>
    <row r="17" spans="1:4" x14ac:dyDescent="0.2">
      <c r="A17" t="s">
        <v>26</v>
      </c>
      <c r="B17" s="20">
        <v>301200</v>
      </c>
      <c r="C17" s="20">
        <v>383721</v>
      </c>
      <c r="D17" s="20">
        <f>B17+C17</f>
        <v>684921</v>
      </c>
    </row>
    <row r="18" spans="1:4" x14ac:dyDescent="0.2">
      <c r="A18" s="21" t="s">
        <v>27</v>
      </c>
      <c r="B18" s="20">
        <v>62700</v>
      </c>
      <c r="C18" s="20">
        <v>145361</v>
      </c>
      <c r="D18" s="20">
        <f>B18+C18</f>
        <v>208061</v>
      </c>
    </row>
    <row r="19" spans="1:4" x14ac:dyDescent="0.2">
      <c r="A19" t="s">
        <v>30</v>
      </c>
      <c r="B19" s="22"/>
      <c r="C19" s="23"/>
      <c r="D19" s="23"/>
    </row>
    <row r="20" spans="1:4" x14ac:dyDescent="0.2">
      <c r="A20" t="s">
        <v>24</v>
      </c>
      <c r="B20" s="20">
        <v>1172000</v>
      </c>
      <c r="C20" s="20">
        <v>943373</v>
      </c>
      <c r="D20" s="20">
        <f>B20+C20</f>
        <v>2115373</v>
      </c>
    </row>
    <row r="21" spans="1:4" x14ac:dyDescent="0.2">
      <c r="A21" t="s">
        <v>25</v>
      </c>
      <c r="B21" s="20">
        <v>636500</v>
      </c>
      <c r="C21" s="20">
        <v>565528</v>
      </c>
      <c r="D21" s="20">
        <f>B21+C21</f>
        <v>1202028</v>
      </c>
    </row>
    <row r="22" spans="1:4" x14ac:dyDescent="0.2">
      <c r="A22" t="s">
        <v>26</v>
      </c>
      <c r="B22" s="20">
        <v>272500</v>
      </c>
      <c r="C22" s="20">
        <v>329862</v>
      </c>
      <c r="D22" s="20">
        <f>B22+C22</f>
        <v>602362</v>
      </c>
    </row>
    <row r="23" spans="1:4" x14ac:dyDescent="0.2">
      <c r="A23" s="21" t="s">
        <v>27</v>
      </c>
      <c r="B23" s="20">
        <v>58000</v>
      </c>
      <c r="C23" s="20">
        <v>120329</v>
      </c>
      <c r="D23" s="20">
        <f>B23+C23</f>
        <v>178329</v>
      </c>
    </row>
    <row r="24" spans="1:4" x14ac:dyDescent="0.2">
      <c r="A24" t="s">
        <v>31</v>
      </c>
      <c r="B24" s="22"/>
      <c r="C24" s="22"/>
      <c r="D24" s="22"/>
    </row>
    <row r="25" spans="1:4" x14ac:dyDescent="0.2">
      <c r="A25" t="s">
        <v>24</v>
      </c>
      <c r="B25" s="20">
        <v>820000</v>
      </c>
      <c r="C25" s="20">
        <v>868653</v>
      </c>
      <c r="D25" s="20">
        <f>B25+C25</f>
        <v>1688653</v>
      </c>
    </row>
    <row r="26" spans="1:4" x14ac:dyDescent="0.2">
      <c r="A26" t="s">
        <v>25</v>
      </c>
      <c r="B26" s="20">
        <v>355900</v>
      </c>
      <c r="C26" s="20">
        <v>549947</v>
      </c>
      <c r="D26" s="20">
        <f>B26+C26</f>
        <v>905847</v>
      </c>
    </row>
    <row r="27" spans="1:4" x14ac:dyDescent="0.2">
      <c r="A27" t="s">
        <v>26</v>
      </c>
      <c r="B27" s="20">
        <v>110000</v>
      </c>
      <c r="C27" s="20">
        <v>300604</v>
      </c>
      <c r="D27" s="20">
        <f>B27+C27</f>
        <v>410604</v>
      </c>
    </row>
    <row r="28" spans="1:4" x14ac:dyDescent="0.2">
      <c r="A28" s="21" t="s">
        <v>27</v>
      </c>
      <c r="B28" s="20">
        <v>29400</v>
      </c>
      <c r="C28" s="20">
        <v>83014</v>
      </c>
      <c r="D28" s="20">
        <f>+B28+C28</f>
        <v>112414</v>
      </c>
    </row>
    <row r="29" spans="1:4" x14ac:dyDescent="0.2">
      <c r="A29" s="24" t="s">
        <v>32</v>
      </c>
      <c r="B29" s="20"/>
      <c r="C29" s="20"/>
      <c r="D29" s="22"/>
    </row>
    <row r="30" spans="1:4" x14ac:dyDescent="0.2">
      <c r="A30" t="s">
        <v>24</v>
      </c>
      <c r="B30" s="20">
        <v>1300000</v>
      </c>
      <c r="C30" s="20">
        <v>1004640</v>
      </c>
      <c r="D30" s="20">
        <f>+B30+C30</f>
        <v>2304640</v>
      </c>
    </row>
    <row r="31" spans="1:4" x14ac:dyDescent="0.2">
      <c r="A31" t="s">
        <v>25</v>
      </c>
      <c r="B31" s="20">
        <v>795000</v>
      </c>
      <c r="C31" s="20">
        <v>586364</v>
      </c>
      <c r="D31" s="20">
        <f>+B31+C31</f>
        <v>1381364</v>
      </c>
    </row>
    <row r="32" spans="1:4" x14ac:dyDescent="0.2">
      <c r="A32" t="s">
        <v>26</v>
      </c>
      <c r="B32" s="20">
        <v>356100</v>
      </c>
      <c r="C32" s="20">
        <v>343174</v>
      </c>
      <c r="D32" s="20">
        <f>+B32+C32</f>
        <v>699274</v>
      </c>
    </row>
    <row r="33" spans="1:4" x14ac:dyDescent="0.2">
      <c r="A33" s="21" t="s">
        <v>27</v>
      </c>
      <c r="B33" s="20">
        <v>99700</v>
      </c>
      <c r="C33" s="20">
        <v>156038</v>
      </c>
      <c r="D33" s="20">
        <f>+B33+C33</f>
        <v>255738</v>
      </c>
    </row>
    <row r="34" spans="1:4" x14ac:dyDescent="0.2">
      <c r="A34" s="24" t="s">
        <v>33</v>
      </c>
      <c r="B34" s="20"/>
      <c r="C34" s="20"/>
      <c r="D34" s="22"/>
    </row>
    <row r="35" spans="1:4" x14ac:dyDescent="0.2">
      <c r="A35" t="s">
        <v>24</v>
      </c>
      <c r="B35" s="20">
        <v>1345000</v>
      </c>
      <c r="C35" s="20">
        <v>1156426</v>
      </c>
      <c r="D35" s="20">
        <f>B35+C35</f>
        <v>2501426</v>
      </c>
    </row>
    <row r="36" spans="1:4" x14ac:dyDescent="0.2">
      <c r="A36" t="s">
        <v>25</v>
      </c>
      <c r="B36" s="20">
        <v>872000</v>
      </c>
      <c r="C36" s="20">
        <v>797206</v>
      </c>
      <c r="D36" s="20">
        <f>B36+C36</f>
        <v>1669206</v>
      </c>
    </row>
    <row r="37" spans="1:4" x14ac:dyDescent="0.2">
      <c r="A37" t="s">
        <v>26</v>
      </c>
      <c r="B37" s="20">
        <v>495500</v>
      </c>
      <c r="C37" s="20">
        <v>495199</v>
      </c>
      <c r="D37" s="20">
        <f>B37+C37</f>
        <v>990699</v>
      </c>
    </row>
    <row r="38" spans="1:4" x14ac:dyDescent="0.2">
      <c r="A38" s="21" t="s">
        <v>27</v>
      </c>
      <c r="B38" s="20">
        <v>176300</v>
      </c>
      <c r="C38" s="20">
        <v>273026</v>
      </c>
      <c r="D38" s="20">
        <f>B38+C38</f>
        <v>449326</v>
      </c>
    </row>
    <row r="39" spans="1:4" x14ac:dyDescent="0.2">
      <c r="A39" s="24" t="s">
        <v>34</v>
      </c>
      <c r="B39" s="20"/>
      <c r="C39" s="20"/>
      <c r="D39" s="22"/>
    </row>
    <row r="40" spans="1:4" x14ac:dyDescent="0.2">
      <c r="A40" s="21" t="s">
        <v>24</v>
      </c>
      <c r="B40" s="20">
        <v>1461000</v>
      </c>
      <c r="C40" s="20">
        <v>1240366</v>
      </c>
      <c r="D40" s="20">
        <f>+B40+C40</f>
        <v>2701366</v>
      </c>
    </row>
    <row r="41" spans="1:4" x14ac:dyDescent="0.2">
      <c r="A41" t="s">
        <v>25</v>
      </c>
      <c r="B41" s="20">
        <v>910000</v>
      </c>
      <c r="C41" s="20">
        <v>876887</v>
      </c>
      <c r="D41" s="20">
        <f>+B41+C41</f>
        <v>1786887</v>
      </c>
    </row>
    <row r="42" spans="1:4" x14ac:dyDescent="0.2">
      <c r="A42" t="s">
        <v>26</v>
      </c>
      <c r="B42" s="20">
        <v>500000</v>
      </c>
      <c r="C42" s="20">
        <v>592185</v>
      </c>
      <c r="D42" s="20">
        <f>+B42+C42</f>
        <v>1092185</v>
      </c>
    </row>
    <row r="43" spans="1:4" x14ac:dyDescent="0.2">
      <c r="A43" s="21" t="s">
        <v>27</v>
      </c>
      <c r="B43" s="20">
        <v>143000</v>
      </c>
      <c r="C43" s="20">
        <v>430810</v>
      </c>
      <c r="D43" s="20">
        <f>+B43+C43</f>
        <v>573810</v>
      </c>
    </row>
    <row r="44" spans="1:4" x14ac:dyDescent="0.2">
      <c r="A44" s="24" t="s">
        <v>35</v>
      </c>
      <c r="B44" s="20"/>
      <c r="C44" s="20"/>
      <c r="D44" s="20"/>
    </row>
    <row r="45" spans="1:4" x14ac:dyDescent="0.2">
      <c r="A45" s="21" t="s">
        <v>24</v>
      </c>
      <c r="B45" s="20">
        <v>1128500</v>
      </c>
      <c r="C45" s="20">
        <v>1231860</v>
      </c>
      <c r="D45" s="20">
        <f>+B45+C45</f>
        <v>2360360</v>
      </c>
    </row>
    <row r="46" spans="1:4" x14ac:dyDescent="0.2">
      <c r="A46" t="s">
        <v>25</v>
      </c>
      <c r="B46" s="20">
        <v>593000</v>
      </c>
      <c r="C46" s="20">
        <v>840982</v>
      </c>
      <c r="D46" s="20">
        <f>+B46+C46</f>
        <v>1433982</v>
      </c>
    </row>
    <row r="47" spans="1:4" x14ac:dyDescent="0.2">
      <c r="A47" t="s">
        <v>26</v>
      </c>
      <c r="B47" s="20">
        <v>226600</v>
      </c>
      <c r="C47" s="20">
        <v>449543</v>
      </c>
      <c r="D47" s="20">
        <f>+B47+C47</f>
        <v>676143</v>
      </c>
    </row>
    <row r="48" spans="1:4" x14ac:dyDescent="0.2">
      <c r="A48" s="21" t="s">
        <v>27</v>
      </c>
      <c r="B48" s="20">
        <v>47000</v>
      </c>
      <c r="C48" s="20">
        <v>158034</v>
      </c>
      <c r="D48" s="20">
        <f>+B48+C48</f>
        <v>205034</v>
      </c>
    </row>
    <row r="49" spans="1:4" x14ac:dyDescent="0.2">
      <c r="A49" s="24" t="s">
        <v>36</v>
      </c>
      <c r="B49" s="20"/>
      <c r="C49" s="20"/>
      <c r="D49" s="22"/>
    </row>
    <row r="50" spans="1:4" x14ac:dyDescent="0.2">
      <c r="A50" s="21" t="s">
        <v>24</v>
      </c>
      <c r="B50" s="20">
        <v>1189000</v>
      </c>
      <c r="C50" s="20">
        <v>1086432</v>
      </c>
      <c r="D50" s="20">
        <f>+B50+C50</f>
        <v>2275432</v>
      </c>
    </row>
    <row r="51" spans="1:4" x14ac:dyDescent="0.2">
      <c r="A51" t="s">
        <v>25</v>
      </c>
      <c r="B51" s="22">
        <v>656500</v>
      </c>
      <c r="C51" s="22">
        <v>645289</v>
      </c>
      <c r="D51" s="20">
        <f>+B51+C51</f>
        <v>1301789</v>
      </c>
    </row>
    <row r="52" spans="1:4" x14ac:dyDescent="0.2">
      <c r="A52" t="s">
        <v>26</v>
      </c>
      <c r="B52" s="22">
        <v>226300</v>
      </c>
      <c r="C52" s="22">
        <v>369859</v>
      </c>
      <c r="D52" s="20">
        <f>+B52+C52</f>
        <v>596159</v>
      </c>
    </row>
    <row r="53" spans="1:4" x14ac:dyDescent="0.2">
      <c r="A53" s="21" t="s">
        <v>27</v>
      </c>
      <c r="B53" s="22">
        <v>35100</v>
      </c>
      <c r="C53" s="22">
        <v>103098</v>
      </c>
      <c r="D53" s="20">
        <f>+B53+C53</f>
        <v>138198</v>
      </c>
    </row>
    <row r="54" spans="1:4" x14ac:dyDescent="0.2">
      <c r="A54" s="24" t="s">
        <v>37</v>
      </c>
      <c r="B54" s="22"/>
      <c r="C54" s="22"/>
      <c r="D54" s="22"/>
    </row>
    <row r="55" spans="1:4" x14ac:dyDescent="0.2">
      <c r="A55" s="21" t="s">
        <v>24</v>
      </c>
      <c r="B55" s="20">
        <v>1229500</v>
      </c>
      <c r="C55" s="20">
        <v>1109050</v>
      </c>
      <c r="D55" s="20">
        <f>+B55+C55</f>
        <v>2338550</v>
      </c>
    </row>
    <row r="56" spans="1:4" x14ac:dyDescent="0.2">
      <c r="A56" t="s">
        <v>25</v>
      </c>
      <c r="B56" s="20">
        <v>609200</v>
      </c>
      <c r="C56" s="20">
        <v>660868</v>
      </c>
      <c r="D56" s="20">
        <f>+B56+C56</f>
        <v>1270068</v>
      </c>
    </row>
    <row r="57" spans="1:4" x14ac:dyDescent="0.2">
      <c r="A57" t="s">
        <v>26</v>
      </c>
      <c r="B57" s="20">
        <v>232600</v>
      </c>
      <c r="C57" s="20">
        <v>338523</v>
      </c>
      <c r="D57" s="20">
        <f>+B57+C57</f>
        <v>571123</v>
      </c>
    </row>
    <row r="58" spans="1:4" x14ac:dyDescent="0.2">
      <c r="A58" s="21" t="s">
        <v>27</v>
      </c>
      <c r="B58" s="20">
        <v>35400</v>
      </c>
      <c r="C58" s="20">
        <v>115485</v>
      </c>
      <c r="D58" s="20">
        <f>+B58+C58</f>
        <v>150885</v>
      </c>
    </row>
    <row r="59" spans="1:4" x14ac:dyDescent="0.2">
      <c r="A59" s="25" t="s">
        <v>38</v>
      </c>
      <c r="B59" s="20"/>
      <c r="C59" s="20"/>
      <c r="D59" s="20"/>
    </row>
    <row r="60" spans="1:4" x14ac:dyDescent="0.2">
      <c r="A60" s="21" t="s">
        <v>24</v>
      </c>
      <c r="B60" s="20">
        <v>1091000</v>
      </c>
      <c r="C60" s="20">
        <v>1187084</v>
      </c>
      <c r="D60" s="20">
        <f>+B60+C60</f>
        <v>2278084</v>
      </c>
    </row>
    <row r="61" spans="1:4" x14ac:dyDescent="0.2">
      <c r="A61" t="s">
        <v>25</v>
      </c>
      <c r="B61" s="20">
        <v>505000</v>
      </c>
      <c r="C61" s="20">
        <v>743800</v>
      </c>
      <c r="D61" s="20">
        <f>+B61+C61</f>
        <v>1248800</v>
      </c>
    </row>
    <row r="62" spans="1:4" x14ac:dyDescent="0.2">
      <c r="A62" t="s">
        <v>26</v>
      </c>
      <c r="B62" s="20">
        <v>217700</v>
      </c>
      <c r="C62" s="20">
        <v>401583</v>
      </c>
      <c r="D62" s="20">
        <f>+B62+C62</f>
        <v>619283</v>
      </c>
    </row>
    <row r="63" spans="1:4" x14ac:dyDescent="0.2">
      <c r="A63" s="21" t="s">
        <v>27</v>
      </c>
      <c r="B63" s="20">
        <v>48500</v>
      </c>
      <c r="C63" s="20">
        <v>166513</v>
      </c>
      <c r="D63" s="20">
        <f>+B63+C63</f>
        <v>215013</v>
      </c>
    </row>
    <row r="64" spans="1:4" x14ac:dyDescent="0.2">
      <c r="A64" s="25" t="s">
        <v>39</v>
      </c>
      <c r="B64" s="20"/>
      <c r="C64" s="20"/>
      <c r="D64" s="20"/>
    </row>
    <row r="65" spans="1:4" x14ac:dyDescent="0.2">
      <c r="A65" s="21" t="s">
        <v>24</v>
      </c>
      <c r="B65" s="20">
        <v>1139000</v>
      </c>
      <c r="C65" s="20">
        <v>1230885</v>
      </c>
      <c r="D65" s="20">
        <f>B65+C65</f>
        <v>2369885</v>
      </c>
    </row>
    <row r="66" spans="1:4" x14ac:dyDescent="0.2">
      <c r="A66" t="s">
        <v>25</v>
      </c>
      <c r="B66" s="20">
        <v>555000</v>
      </c>
      <c r="C66" s="20">
        <v>819488</v>
      </c>
      <c r="D66" s="20">
        <f>B66+C66</f>
        <v>1374488</v>
      </c>
    </row>
    <row r="67" spans="1:4" x14ac:dyDescent="0.2">
      <c r="A67" t="s">
        <v>26</v>
      </c>
      <c r="B67" s="20">
        <v>179000</v>
      </c>
      <c r="C67" s="20">
        <v>488465</v>
      </c>
      <c r="D67" s="20">
        <f>B67+C67</f>
        <v>667465</v>
      </c>
    </row>
    <row r="68" spans="1:4" x14ac:dyDescent="0.2">
      <c r="A68" s="21" t="s">
        <v>27</v>
      </c>
      <c r="B68" s="20">
        <v>38250</v>
      </c>
      <c r="C68" s="20">
        <v>131120</v>
      </c>
      <c r="D68" s="20">
        <f>B68+C68</f>
        <v>169370</v>
      </c>
    </row>
    <row r="69" spans="1:4" x14ac:dyDescent="0.2">
      <c r="A69" s="25" t="s">
        <v>40</v>
      </c>
      <c r="B69" s="20"/>
      <c r="C69" s="20"/>
      <c r="D69" s="20"/>
    </row>
    <row r="70" spans="1:4" x14ac:dyDescent="0.2">
      <c r="A70" s="21" t="s">
        <v>24</v>
      </c>
      <c r="B70" s="20">
        <v>910000</v>
      </c>
      <c r="C70" s="20">
        <v>1056161</v>
      </c>
      <c r="D70" s="20">
        <f>B70+C70</f>
        <v>1966161</v>
      </c>
    </row>
    <row r="71" spans="1:4" x14ac:dyDescent="0.2">
      <c r="A71" t="s">
        <v>25</v>
      </c>
      <c r="B71" s="20">
        <v>456700</v>
      </c>
      <c r="C71" s="20">
        <v>541320</v>
      </c>
      <c r="D71" s="20">
        <f>B71+C71</f>
        <v>998020</v>
      </c>
    </row>
    <row r="72" spans="1:4" x14ac:dyDescent="0.2">
      <c r="A72" t="s">
        <v>26</v>
      </c>
      <c r="B72" s="20">
        <v>171100</v>
      </c>
      <c r="C72" s="20">
        <v>263564</v>
      </c>
      <c r="D72" s="20">
        <f>B72+C72</f>
        <v>434664</v>
      </c>
    </row>
    <row r="73" spans="1:4" x14ac:dyDescent="0.2">
      <c r="A73" s="21" t="s">
        <v>27</v>
      </c>
      <c r="B73" s="20">
        <v>39550</v>
      </c>
      <c r="C73" s="20">
        <v>101007</v>
      </c>
      <c r="D73" s="20">
        <f>B73+C73</f>
        <v>140557</v>
      </c>
    </row>
    <row r="74" spans="1:4" x14ac:dyDescent="0.2">
      <c r="A74" s="25" t="s">
        <v>41</v>
      </c>
      <c r="B74" s="20"/>
      <c r="C74" s="20"/>
      <c r="D74" s="20"/>
    </row>
    <row r="75" spans="1:4" x14ac:dyDescent="0.2">
      <c r="A75" s="21" t="s">
        <v>24</v>
      </c>
      <c r="B75" s="20">
        <v>955000</v>
      </c>
      <c r="C75" s="20">
        <v>1198621</v>
      </c>
      <c r="D75" s="20">
        <f>B75+C75</f>
        <v>2153621</v>
      </c>
    </row>
    <row r="76" spans="1:4" x14ac:dyDescent="0.2">
      <c r="A76" t="s">
        <v>25</v>
      </c>
      <c r="B76" s="20">
        <v>381900</v>
      </c>
      <c r="C76" s="20">
        <v>611928</v>
      </c>
      <c r="D76" s="20">
        <f>B76+C76</f>
        <v>993828</v>
      </c>
    </row>
    <row r="77" spans="1:4" x14ac:dyDescent="0.2">
      <c r="A77" t="s">
        <v>26</v>
      </c>
      <c r="B77" s="20">
        <v>109100</v>
      </c>
      <c r="C77" s="20">
        <v>295945</v>
      </c>
      <c r="D77" s="20">
        <f>B77+C77</f>
        <v>405045</v>
      </c>
    </row>
    <row r="78" spans="1:4" x14ac:dyDescent="0.2">
      <c r="A78" s="21" t="s">
        <v>27</v>
      </c>
      <c r="B78" s="20">
        <v>21325</v>
      </c>
      <c r="C78" s="20">
        <v>70666</v>
      </c>
      <c r="D78" s="20">
        <f>B78+C78</f>
        <v>91991</v>
      </c>
    </row>
    <row r="79" spans="1:4" x14ac:dyDescent="0.2">
      <c r="A79" s="25" t="s">
        <v>42</v>
      </c>
      <c r="B79" s="20"/>
      <c r="C79" s="20"/>
      <c r="D79" s="20"/>
    </row>
    <row r="80" spans="1:4" x14ac:dyDescent="0.2">
      <c r="A80" s="21" t="s">
        <v>24</v>
      </c>
      <c r="B80" s="20">
        <v>1218000</v>
      </c>
      <c r="C80" s="20">
        <v>1309744</v>
      </c>
      <c r="D80" s="20">
        <f>B80+C80</f>
        <v>2527744</v>
      </c>
    </row>
    <row r="81" spans="1:4" x14ac:dyDescent="0.2">
      <c r="A81" t="s">
        <v>25</v>
      </c>
      <c r="B81" s="20">
        <v>609200</v>
      </c>
      <c r="C81" s="20">
        <v>717399</v>
      </c>
      <c r="D81" s="20">
        <f>B81+C81</f>
        <v>1326599</v>
      </c>
    </row>
    <row r="82" spans="1:4" x14ac:dyDescent="0.2">
      <c r="A82" t="s">
        <v>26</v>
      </c>
      <c r="B82" s="20">
        <v>246300</v>
      </c>
      <c r="C82" s="20">
        <v>380768</v>
      </c>
      <c r="D82" s="20">
        <f>B82+C82</f>
        <v>627068</v>
      </c>
    </row>
    <row r="83" spans="1:4" x14ac:dyDescent="0.2">
      <c r="A83" s="21" t="s">
        <v>27</v>
      </c>
      <c r="B83" s="20">
        <v>49700</v>
      </c>
      <c r="C83" s="20">
        <v>140910</v>
      </c>
      <c r="D83" s="20">
        <f>B83+C83</f>
        <v>190610</v>
      </c>
    </row>
    <row r="84" spans="1:4" x14ac:dyDescent="0.2">
      <c r="A84" s="25" t="s">
        <v>43</v>
      </c>
      <c r="B84" s="20"/>
      <c r="C84" s="20"/>
      <c r="D84" s="20"/>
    </row>
    <row r="85" spans="1:4" x14ac:dyDescent="0.2">
      <c r="A85" s="21" t="s">
        <v>24</v>
      </c>
      <c r="B85" s="20">
        <v>1308500</v>
      </c>
      <c r="C85" s="20">
        <v>1405577</v>
      </c>
      <c r="D85" s="20">
        <f>B85+C85</f>
        <v>2714077</v>
      </c>
    </row>
    <row r="86" spans="1:4" x14ac:dyDescent="0.2">
      <c r="A86" t="s">
        <v>25</v>
      </c>
      <c r="B86" s="20">
        <v>727500</v>
      </c>
      <c r="C86" s="20">
        <v>803406</v>
      </c>
      <c r="D86" s="20">
        <f>B86+C86</f>
        <v>1530906</v>
      </c>
    </row>
    <row r="87" spans="1:4" x14ac:dyDescent="0.2">
      <c r="A87" t="s">
        <v>26</v>
      </c>
      <c r="B87" s="20">
        <v>281300</v>
      </c>
      <c r="C87" s="20">
        <v>590481</v>
      </c>
      <c r="D87" s="20">
        <f>B87+C87</f>
        <v>871781</v>
      </c>
    </row>
    <row r="88" spans="1:4" x14ac:dyDescent="0.2">
      <c r="A88" s="21" t="s">
        <v>27</v>
      </c>
      <c r="B88" s="20">
        <v>41560</v>
      </c>
      <c r="C88" s="20">
        <v>155169</v>
      </c>
      <c r="D88" s="20">
        <f>B88+C88</f>
        <v>196729</v>
      </c>
    </row>
    <row r="89" spans="1:4" x14ac:dyDescent="0.2">
      <c r="A89" s="25" t="s">
        <v>44</v>
      </c>
      <c r="B89" s="20"/>
      <c r="C89" s="20"/>
      <c r="D89" s="20"/>
    </row>
    <row r="90" spans="1:4" x14ac:dyDescent="0.2">
      <c r="A90" s="21" t="s">
        <v>24</v>
      </c>
      <c r="B90" s="20">
        <v>1335000</v>
      </c>
      <c r="C90" s="20">
        <v>1564056</v>
      </c>
      <c r="D90" s="20">
        <f>B90+C90</f>
        <v>2899056</v>
      </c>
    </row>
    <row r="91" spans="1:4" x14ac:dyDescent="0.2">
      <c r="A91" t="s">
        <v>25</v>
      </c>
      <c r="B91" s="20">
        <v>668500</v>
      </c>
      <c r="C91" s="20">
        <v>1070433</v>
      </c>
      <c r="D91" s="20">
        <f>B91+C91</f>
        <v>1738933</v>
      </c>
    </row>
    <row r="92" spans="1:4" x14ac:dyDescent="0.2">
      <c r="A92" t="s">
        <v>26</v>
      </c>
      <c r="B92" s="20">
        <v>332500</v>
      </c>
      <c r="C92" s="20">
        <v>633356</v>
      </c>
      <c r="D92" s="20">
        <f>B92+C92</f>
        <v>965856</v>
      </c>
    </row>
    <row r="93" spans="1:4" x14ac:dyDescent="0.2">
      <c r="A93" s="21" t="s">
        <v>27</v>
      </c>
      <c r="B93" s="20">
        <v>87900</v>
      </c>
      <c r="C93" s="20">
        <v>213695</v>
      </c>
      <c r="D93" s="20">
        <f>B93+C93</f>
        <v>301595</v>
      </c>
    </row>
    <row r="94" spans="1:4" x14ac:dyDescent="0.2">
      <c r="A94" s="25" t="s">
        <v>45</v>
      </c>
      <c r="B94" s="26"/>
      <c r="C94" s="26"/>
      <c r="D94" s="20"/>
    </row>
    <row r="95" spans="1:4" x14ac:dyDescent="0.2">
      <c r="A95" s="21" t="s">
        <v>24</v>
      </c>
      <c r="B95" s="26">
        <v>1485000</v>
      </c>
      <c r="C95" s="26">
        <v>1672020</v>
      </c>
      <c r="D95" s="20">
        <f>B95+C95</f>
        <v>3157020</v>
      </c>
    </row>
    <row r="96" spans="1:4" x14ac:dyDescent="0.2">
      <c r="A96" s="27"/>
      <c r="B96" s="27"/>
      <c r="C96" s="27"/>
      <c r="D96" s="27"/>
    </row>
    <row r="97" spans="1:11" ht="13.15" customHeight="1" x14ac:dyDescent="0.2">
      <c r="A97" s="28" t="s">
        <v>46</v>
      </c>
    </row>
    <row r="98" spans="1:11" x14ac:dyDescent="0.2">
      <c r="D98" s="29" t="s">
        <v>47</v>
      </c>
    </row>
    <row r="99" spans="1:11" x14ac:dyDescent="0.2">
      <c r="B99" s="30"/>
      <c r="E99" s="31"/>
      <c r="F99" s="31"/>
      <c r="G99" s="31"/>
      <c r="H99" s="31"/>
      <c r="I99" s="31"/>
      <c r="J99" s="31"/>
      <c r="K99" s="31"/>
    </row>
  </sheetData>
  <pageMargins left="0.66700000000000004" right="0.66700000000000004" top="0.66700000000000004" bottom="0.83299999999999996" header="0" footer="0"/>
  <pageSetup scale="68" firstPageNumber="2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zoomScaleNormal="100" zoomScaleSheetLayoutView="90" workbookViewId="0">
      <pane ySplit="4" topLeftCell="A26" activePane="bottomLeft" state="frozen"/>
      <selection pane="bottomLeft"/>
    </sheetView>
  </sheetViews>
  <sheetFormatPr defaultRowHeight="11.25" x14ac:dyDescent="0.2"/>
  <cols>
    <col min="1" max="7" width="17.6640625" customWidth="1"/>
    <col min="8" max="8" width="12.1640625" bestFit="1" customWidth="1"/>
  </cols>
  <sheetData>
    <row r="1" spans="1:7" x14ac:dyDescent="0.2">
      <c r="A1" s="32" t="s">
        <v>6</v>
      </c>
      <c r="B1" s="16"/>
      <c r="C1" s="16"/>
      <c r="D1" s="16"/>
      <c r="E1" s="16"/>
      <c r="F1" s="16"/>
      <c r="G1" s="16"/>
    </row>
    <row r="2" spans="1:7" x14ac:dyDescent="0.2">
      <c r="A2" t="s">
        <v>48</v>
      </c>
      <c r="B2" s="33" t="s">
        <v>49</v>
      </c>
      <c r="C2" s="33" t="s">
        <v>50</v>
      </c>
      <c r="D2" s="33" t="s">
        <v>51</v>
      </c>
      <c r="E2" s="33" t="s">
        <v>52</v>
      </c>
      <c r="F2" s="33" t="s">
        <v>53</v>
      </c>
      <c r="G2" s="33" t="s">
        <v>54</v>
      </c>
    </row>
    <row r="3" spans="1:7" x14ac:dyDescent="0.2">
      <c r="A3" s="16"/>
      <c r="B3" s="34"/>
      <c r="C3" s="34"/>
      <c r="D3" s="34" t="s">
        <v>55</v>
      </c>
      <c r="E3" s="34"/>
      <c r="F3" s="34"/>
      <c r="G3" s="34" t="s">
        <v>56</v>
      </c>
    </row>
    <row r="4" spans="1:7" x14ac:dyDescent="0.2">
      <c r="B4" s="35" t="s">
        <v>57</v>
      </c>
      <c r="C4" s="19"/>
      <c r="D4" s="33" t="s">
        <v>58</v>
      </c>
      <c r="E4" s="33" t="s">
        <v>22</v>
      </c>
      <c r="F4" s="36">
        <v>1000</v>
      </c>
      <c r="G4" s="33" t="s">
        <v>59</v>
      </c>
    </row>
    <row r="5" spans="1:7" x14ac:dyDescent="0.2">
      <c r="B5" s="37"/>
      <c r="C5" s="37"/>
      <c r="D5" s="33"/>
      <c r="E5" s="33"/>
      <c r="F5" s="36"/>
      <c r="G5" s="33"/>
    </row>
    <row r="6" spans="1:7" x14ac:dyDescent="0.2">
      <c r="A6" t="s">
        <v>60</v>
      </c>
      <c r="B6" s="38">
        <v>24440</v>
      </c>
      <c r="C6" s="38">
        <v>23655</v>
      </c>
      <c r="D6" s="39">
        <f t="shared" ref="D6:D53" si="0">+E6/C6</f>
        <v>23.46586345381526</v>
      </c>
      <c r="E6" s="38">
        <v>555085</v>
      </c>
      <c r="F6" s="38">
        <v>1184910</v>
      </c>
      <c r="G6" s="40">
        <v>1.85</v>
      </c>
    </row>
    <row r="7" spans="1:7" x14ac:dyDescent="0.2">
      <c r="A7" t="s">
        <v>61</v>
      </c>
      <c r="B7" s="38">
        <v>27787</v>
      </c>
      <c r="C7" s="38">
        <v>27003</v>
      </c>
      <c r="D7" s="39">
        <f t="shared" si="0"/>
        <v>25.128837536570011</v>
      </c>
      <c r="E7" s="38">
        <v>678554</v>
      </c>
      <c r="F7" s="38">
        <v>1543909</v>
      </c>
      <c r="G7" s="40">
        <v>2.2999999999999998</v>
      </c>
    </row>
    <row r="8" spans="1:7" x14ac:dyDescent="0.2">
      <c r="A8" t="s">
        <v>62</v>
      </c>
      <c r="B8" s="38">
        <v>28418</v>
      </c>
      <c r="C8" s="38">
        <v>27608</v>
      </c>
      <c r="D8" s="39">
        <f t="shared" si="0"/>
        <v>24.238843813387422</v>
      </c>
      <c r="E8" s="38">
        <v>669186</v>
      </c>
      <c r="F8" s="38">
        <v>1564352</v>
      </c>
      <c r="G8" s="40">
        <v>2.25</v>
      </c>
    </row>
    <row r="9" spans="1:7" x14ac:dyDescent="0.2">
      <c r="A9" t="s">
        <v>63</v>
      </c>
      <c r="B9" s="38">
        <v>29462</v>
      </c>
      <c r="C9" s="38">
        <v>28615</v>
      </c>
      <c r="D9" s="39">
        <f t="shared" si="0"/>
        <v>24.433513891315744</v>
      </c>
      <c r="E9" s="38">
        <v>699165</v>
      </c>
      <c r="F9" s="38">
        <v>1755076</v>
      </c>
      <c r="G9" s="40">
        <v>2.25</v>
      </c>
    </row>
    <row r="10" spans="1:7" x14ac:dyDescent="0.2">
      <c r="A10" t="s">
        <v>64</v>
      </c>
      <c r="B10" s="38">
        <v>31721</v>
      </c>
      <c r="C10" s="38">
        <v>30793</v>
      </c>
      <c r="D10" s="39">
        <f t="shared" si="0"/>
        <v>22.762348585717533</v>
      </c>
      <c r="E10" s="38">
        <v>700921</v>
      </c>
      <c r="F10" s="38">
        <v>1836441</v>
      </c>
      <c r="G10" s="40">
        <v>2.25</v>
      </c>
    </row>
    <row r="11" spans="1:7" x14ac:dyDescent="0.2">
      <c r="A11" t="s">
        <v>65</v>
      </c>
      <c r="B11" s="38">
        <v>35227</v>
      </c>
      <c r="C11" s="38">
        <v>34449</v>
      </c>
      <c r="D11" s="39">
        <f t="shared" si="0"/>
        <v>24.54666318325641</v>
      </c>
      <c r="E11" s="38">
        <v>845608</v>
      </c>
      <c r="F11" s="38">
        <v>2151305</v>
      </c>
      <c r="G11" s="40">
        <v>2.25</v>
      </c>
    </row>
    <row r="12" spans="1:7" x14ac:dyDescent="0.2">
      <c r="A12" t="s">
        <v>66</v>
      </c>
      <c r="B12" s="38">
        <v>37294</v>
      </c>
      <c r="C12" s="38">
        <v>36546</v>
      </c>
      <c r="D12" s="39">
        <f t="shared" si="0"/>
        <v>25.40581732610956</v>
      </c>
      <c r="E12" s="38">
        <v>928481</v>
      </c>
      <c r="F12" s="38">
        <v>2553612</v>
      </c>
      <c r="G12" s="40">
        <v>2.5</v>
      </c>
    </row>
    <row r="13" spans="1:7" x14ac:dyDescent="0.2">
      <c r="A13" t="s">
        <v>67</v>
      </c>
      <c r="B13" s="38">
        <v>40819</v>
      </c>
      <c r="C13" s="38">
        <v>39805</v>
      </c>
      <c r="D13" s="39">
        <f t="shared" si="0"/>
        <v>24.530561487250345</v>
      </c>
      <c r="E13" s="38">
        <v>976439</v>
      </c>
      <c r="F13" s="38">
        <v>2433519</v>
      </c>
      <c r="G13" s="40">
        <v>2.5</v>
      </c>
    </row>
    <row r="14" spans="1:7" x14ac:dyDescent="0.2">
      <c r="A14" t="s">
        <v>68</v>
      </c>
      <c r="B14" s="38">
        <v>42265</v>
      </c>
      <c r="C14" s="38">
        <v>41391</v>
      </c>
      <c r="D14" s="39">
        <f t="shared" si="0"/>
        <v>26.74392983982025</v>
      </c>
      <c r="E14" s="38">
        <v>1106958</v>
      </c>
      <c r="F14" s="38">
        <v>2688571</v>
      </c>
      <c r="G14" s="40">
        <v>2.5</v>
      </c>
    </row>
    <row r="15" spans="1:7" x14ac:dyDescent="0.2">
      <c r="A15" t="s">
        <v>69</v>
      </c>
      <c r="B15" s="38">
        <v>42534</v>
      </c>
      <c r="C15" s="38">
        <v>41337</v>
      </c>
      <c r="D15" s="39">
        <f t="shared" si="0"/>
        <v>27.411761859835014</v>
      </c>
      <c r="E15" s="38">
        <v>1133120</v>
      </c>
      <c r="F15" s="38">
        <v>2664204</v>
      </c>
      <c r="G15" s="40">
        <v>2.25</v>
      </c>
    </row>
    <row r="16" spans="1:7" x14ac:dyDescent="0.2">
      <c r="A16" t="s">
        <v>70</v>
      </c>
      <c r="B16" s="38">
        <v>43082</v>
      </c>
      <c r="C16" s="38">
        <v>42249</v>
      </c>
      <c r="D16" s="39">
        <f t="shared" si="0"/>
        <v>26.677554498331322</v>
      </c>
      <c r="E16" s="38">
        <v>1127100</v>
      </c>
      <c r="F16" s="38">
        <v>3214710</v>
      </c>
      <c r="G16" s="40">
        <v>2.25</v>
      </c>
    </row>
    <row r="17" spans="1:7" x14ac:dyDescent="0.2">
      <c r="A17" t="s">
        <v>71</v>
      </c>
      <c r="B17" s="38">
        <v>43476</v>
      </c>
      <c r="C17" s="38">
        <v>42705</v>
      </c>
      <c r="D17" s="39">
        <f t="shared" si="0"/>
        <v>27.540124107247394</v>
      </c>
      <c r="E17" s="38">
        <v>1176101</v>
      </c>
      <c r="F17" s="38">
        <v>3560022</v>
      </c>
      <c r="G17" s="40">
        <v>2.25</v>
      </c>
    </row>
    <row r="18" spans="1:7" x14ac:dyDescent="0.2">
      <c r="A18" t="s">
        <v>72</v>
      </c>
      <c r="B18" s="38">
        <v>46866</v>
      </c>
      <c r="C18" s="38">
        <v>45683</v>
      </c>
      <c r="D18" s="39">
        <f t="shared" si="0"/>
        <v>27.813584922181118</v>
      </c>
      <c r="E18" s="38">
        <v>1270608</v>
      </c>
      <c r="F18" s="38">
        <v>5550074</v>
      </c>
      <c r="G18" s="40">
        <v>2.25</v>
      </c>
    </row>
    <row r="19" spans="1:7" x14ac:dyDescent="0.2">
      <c r="A19" t="s">
        <v>73</v>
      </c>
      <c r="B19" s="38">
        <v>56549</v>
      </c>
      <c r="C19" s="38">
        <v>55667</v>
      </c>
      <c r="D19" s="39">
        <f t="shared" si="0"/>
        <v>27.800007185585716</v>
      </c>
      <c r="E19" s="38">
        <v>1547543</v>
      </c>
      <c r="F19" s="38">
        <v>8790042</v>
      </c>
      <c r="G19" s="40">
        <v>2.25</v>
      </c>
    </row>
    <row r="20" spans="1:7" x14ac:dyDescent="0.2">
      <c r="A20" t="s">
        <v>74</v>
      </c>
      <c r="B20" s="38">
        <v>52479</v>
      </c>
      <c r="C20" s="38">
        <v>51341</v>
      </c>
      <c r="D20" s="39">
        <f t="shared" si="0"/>
        <v>23.690364426092206</v>
      </c>
      <c r="E20" s="38">
        <v>1216287</v>
      </c>
      <c r="F20" s="38">
        <v>8078943</v>
      </c>
      <c r="G20" s="40">
        <v>2.25</v>
      </c>
    </row>
    <row r="21" spans="1:7" x14ac:dyDescent="0.2">
      <c r="A21" t="s">
        <v>75</v>
      </c>
      <c r="B21" s="38">
        <v>54590</v>
      </c>
      <c r="C21" s="38">
        <v>53617</v>
      </c>
      <c r="D21" s="39">
        <f t="shared" si="0"/>
        <v>28.877855903911072</v>
      </c>
      <c r="E21" s="38">
        <v>1548344</v>
      </c>
      <c r="F21" s="38">
        <v>7622493</v>
      </c>
      <c r="G21" s="40" t="s">
        <v>76</v>
      </c>
    </row>
    <row r="22" spans="1:7" x14ac:dyDescent="0.2">
      <c r="A22" t="s">
        <v>77</v>
      </c>
      <c r="B22" s="38">
        <v>50269</v>
      </c>
      <c r="C22" s="38">
        <v>49401</v>
      </c>
      <c r="D22" s="39">
        <f t="shared" si="0"/>
        <v>26.084654156798447</v>
      </c>
      <c r="E22" s="38">
        <v>1288608</v>
      </c>
      <c r="F22" s="38">
        <v>8775761</v>
      </c>
      <c r="G22" s="40">
        <v>2.5</v>
      </c>
    </row>
    <row r="23" spans="1:7" x14ac:dyDescent="0.2">
      <c r="A23" t="s">
        <v>78</v>
      </c>
      <c r="B23" s="38">
        <v>58978</v>
      </c>
      <c r="C23" s="38">
        <v>57830</v>
      </c>
      <c r="D23" s="39">
        <f t="shared" si="0"/>
        <v>30.559692201279613</v>
      </c>
      <c r="E23" s="38">
        <v>1767267</v>
      </c>
      <c r="F23" s="38">
        <v>10383377</v>
      </c>
      <c r="G23" s="40">
        <v>3.5</v>
      </c>
    </row>
    <row r="24" spans="1:7" x14ac:dyDescent="0.2">
      <c r="A24" t="s">
        <v>79</v>
      </c>
      <c r="B24" s="38">
        <v>64708</v>
      </c>
      <c r="C24" s="38">
        <v>63663</v>
      </c>
      <c r="D24" s="39">
        <f t="shared" si="0"/>
        <v>29.353847603788701</v>
      </c>
      <c r="E24" s="38">
        <v>1868754</v>
      </c>
      <c r="F24" s="38">
        <v>12449679</v>
      </c>
      <c r="G24" s="40">
        <v>4.5</v>
      </c>
    </row>
    <row r="25" spans="1:7" x14ac:dyDescent="0.2">
      <c r="A25" t="s">
        <v>80</v>
      </c>
      <c r="B25" s="38">
        <v>71411</v>
      </c>
      <c r="C25" s="38">
        <v>70343</v>
      </c>
      <c r="D25" s="39">
        <f t="shared" si="0"/>
        <v>32.137739362836385</v>
      </c>
      <c r="E25" s="38">
        <v>2260665</v>
      </c>
      <c r="F25" s="38">
        <v>14203660</v>
      </c>
      <c r="G25" s="40">
        <v>4.5</v>
      </c>
    </row>
    <row r="26" spans="1:7" x14ac:dyDescent="0.2">
      <c r="A26" t="s">
        <v>81</v>
      </c>
      <c r="B26" s="38">
        <v>69930</v>
      </c>
      <c r="C26" s="38">
        <v>67813</v>
      </c>
      <c r="D26" s="39">
        <f t="shared" si="0"/>
        <v>26.507351097872089</v>
      </c>
      <c r="E26" s="38">
        <v>1797543</v>
      </c>
      <c r="F26" s="38">
        <v>13601112</v>
      </c>
      <c r="G26" s="40">
        <v>5.0199999999999996</v>
      </c>
    </row>
    <row r="27" spans="1:7" x14ac:dyDescent="0.2">
      <c r="A27" t="s">
        <v>82</v>
      </c>
      <c r="B27" s="38">
        <v>67543</v>
      </c>
      <c r="C27" s="38">
        <v>66163</v>
      </c>
      <c r="D27" s="39">
        <f t="shared" si="0"/>
        <v>30.063781872043286</v>
      </c>
      <c r="E27" s="38">
        <v>1989110</v>
      </c>
      <c r="F27" s="38">
        <v>12004638</v>
      </c>
      <c r="G27" s="40">
        <v>5.0199999999999996</v>
      </c>
    </row>
    <row r="28" spans="1:7" x14ac:dyDescent="0.2">
      <c r="A28" t="s">
        <v>83</v>
      </c>
      <c r="B28" s="38">
        <v>70884</v>
      </c>
      <c r="C28" s="38">
        <v>69442</v>
      </c>
      <c r="D28" s="39">
        <f t="shared" si="0"/>
        <v>31.541387056824401</v>
      </c>
      <c r="E28" s="38">
        <v>2190297</v>
      </c>
      <c r="F28" s="38">
        <v>12483481</v>
      </c>
      <c r="G28" s="40">
        <v>5.0199999999999996</v>
      </c>
    </row>
    <row r="29" spans="1:7" x14ac:dyDescent="0.2">
      <c r="A29" t="s">
        <v>84</v>
      </c>
      <c r="B29" s="38">
        <v>63779</v>
      </c>
      <c r="C29" s="38">
        <v>62525</v>
      </c>
      <c r="D29" s="39">
        <f t="shared" si="0"/>
        <v>26.161887245101958</v>
      </c>
      <c r="E29" s="38">
        <v>1635772</v>
      </c>
      <c r="F29" s="38">
        <v>12978513</v>
      </c>
      <c r="G29" s="40">
        <v>5.0199999999999996</v>
      </c>
    </row>
    <row r="30" spans="1:7" x14ac:dyDescent="0.2">
      <c r="A30" t="s">
        <v>85</v>
      </c>
      <c r="B30" s="38">
        <v>67755</v>
      </c>
      <c r="C30" s="38">
        <v>66113</v>
      </c>
      <c r="D30" s="39">
        <f t="shared" si="0"/>
        <v>28.146703371500308</v>
      </c>
      <c r="E30" s="38">
        <v>1860863</v>
      </c>
      <c r="F30" s="38">
        <v>10864686</v>
      </c>
      <c r="G30" s="40">
        <v>5.0199999999999996</v>
      </c>
    </row>
    <row r="31" spans="1:7" x14ac:dyDescent="0.2">
      <c r="A31" t="s">
        <v>86</v>
      </c>
      <c r="B31" s="38">
        <v>63145</v>
      </c>
      <c r="C31" s="38">
        <v>61599</v>
      </c>
      <c r="D31" s="39">
        <f t="shared" si="0"/>
        <v>34.076137599636361</v>
      </c>
      <c r="E31" s="38">
        <v>2099056</v>
      </c>
      <c r="F31" s="38">
        <v>10583535</v>
      </c>
      <c r="G31" s="40">
        <v>5.0199999999999996</v>
      </c>
    </row>
    <row r="32" spans="1:7" x14ac:dyDescent="0.2">
      <c r="A32" t="s">
        <v>87</v>
      </c>
      <c r="B32" s="38">
        <v>60405</v>
      </c>
      <c r="C32" s="38">
        <v>58312</v>
      </c>
      <c r="D32" s="39">
        <f t="shared" si="0"/>
        <v>33.313177390588557</v>
      </c>
      <c r="E32" s="38">
        <v>1942558</v>
      </c>
      <c r="F32" s="38">
        <v>9274487</v>
      </c>
      <c r="G32" s="40">
        <v>4.7699999999999996</v>
      </c>
    </row>
    <row r="33" spans="1:7" x14ac:dyDescent="0.2">
      <c r="A33" t="s">
        <v>88</v>
      </c>
      <c r="B33" s="38">
        <v>58180</v>
      </c>
      <c r="C33" s="38">
        <v>57172</v>
      </c>
      <c r="D33" s="39">
        <f t="shared" si="0"/>
        <v>33.89284964668019</v>
      </c>
      <c r="E33" s="38">
        <v>1937722</v>
      </c>
      <c r="F33" s="38">
        <v>11391000</v>
      </c>
      <c r="G33" s="40">
        <v>4.7699999999999996</v>
      </c>
    </row>
    <row r="34" spans="1:7" x14ac:dyDescent="0.2">
      <c r="A34" t="s">
        <v>89</v>
      </c>
      <c r="B34" s="38">
        <v>58840</v>
      </c>
      <c r="C34" s="38">
        <v>57373</v>
      </c>
      <c r="D34" s="39">
        <f t="shared" si="0"/>
        <v>26.995991145660852</v>
      </c>
      <c r="E34" s="38">
        <v>1548841</v>
      </c>
      <c r="F34" s="38">
        <v>11487742</v>
      </c>
      <c r="G34" s="40">
        <v>4.7699999999999996</v>
      </c>
    </row>
    <row r="35" spans="1:7" x14ac:dyDescent="0.2">
      <c r="A35" t="s">
        <v>90</v>
      </c>
      <c r="B35" s="38">
        <v>60820</v>
      </c>
      <c r="C35" s="38">
        <v>59538</v>
      </c>
      <c r="D35" s="39">
        <f t="shared" si="0"/>
        <v>32.309886123148239</v>
      </c>
      <c r="E35" s="38">
        <v>1923666</v>
      </c>
      <c r="F35" s="38">
        <v>10916145</v>
      </c>
      <c r="G35" s="40">
        <v>4.53</v>
      </c>
    </row>
    <row r="36" spans="1:7" x14ac:dyDescent="0.2">
      <c r="A36" t="s">
        <v>91</v>
      </c>
      <c r="B36" s="38">
        <v>57795</v>
      </c>
      <c r="C36" s="38">
        <v>56512</v>
      </c>
      <c r="D36" s="39">
        <f t="shared" si="0"/>
        <v>34.080319224235559</v>
      </c>
      <c r="E36" s="38">
        <v>1925947</v>
      </c>
      <c r="F36" s="38">
        <v>11042010</v>
      </c>
      <c r="G36" s="40">
        <v>4.5</v>
      </c>
    </row>
    <row r="37" spans="1:7" x14ac:dyDescent="0.2">
      <c r="A37" t="s">
        <v>92</v>
      </c>
      <c r="B37" s="38">
        <v>59180</v>
      </c>
      <c r="C37" s="38">
        <v>58011</v>
      </c>
      <c r="D37" s="39">
        <f t="shared" si="0"/>
        <v>34.244177828342899</v>
      </c>
      <c r="E37" s="38">
        <v>1986539</v>
      </c>
      <c r="F37" s="38">
        <v>11091996</v>
      </c>
      <c r="G37" s="40">
        <v>4.92</v>
      </c>
    </row>
    <row r="38" spans="1:7" x14ac:dyDescent="0.2">
      <c r="A38" t="s">
        <v>93</v>
      </c>
      <c r="B38" s="38">
        <v>59180</v>
      </c>
      <c r="C38" s="38">
        <v>58233</v>
      </c>
      <c r="D38" s="39">
        <f t="shared" si="0"/>
        <v>37.613621142651077</v>
      </c>
      <c r="E38" s="38">
        <v>2190354</v>
      </c>
      <c r="F38" s="38">
        <v>12167564</v>
      </c>
      <c r="G38" s="40">
        <v>4.92</v>
      </c>
    </row>
    <row r="39" spans="1:7" x14ac:dyDescent="0.2">
      <c r="A39" t="s">
        <v>94</v>
      </c>
      <c r="B39" s="38">
        <v>60085</v>
      </c>
      <c r="C39" s="38">
        <v>57307</v>
      </c>
      <c r="D39" s="39">
        <f t="shared" si="0"/>
        <v>32.626345821627375</v>
      </c>
      <c r="E39" s="38">
        <v>1869718</v>
      </c>
      <c r="F39" s="38">
        <v>12167564</v>
      </c>
      <c r="G39" s="40">
        <v>4.92</v>
      </c>
    </row>
    <row r="40" spans="1:7" x14ac:dyDescent="0.2">
      <c r="A40" t="s">
        <v>95</v>
      </c>
      <c r="B40" s="38">
        <v>61620</v>
      </c>
      <c r="C40" s="38">
        <v>60809</v>
      </c>
      <c r="D40" s="39">
        <f t="shared" si="0"/>
        <v>41.35685507079544</v>
      </c>
      <c r="E40" s="38">
        <v>2514869</v>
      </c>
      <c r="F40" s="38">
        <v>13756328</v>
      </c>
      <c r="G40" s="40">
        <v>4.92</v>
      </c>
    </row>
    <row r="41" spans="1:7" x14ac:dyDescent="0.2">
      <c r="A41" t="s">
        <v>96</v>
      </c>
      <c r="B41" s="38">
        <v>62495</v>
      </c>
      <c r="C41" s="38">
        <v>61544</v>
      </c>
      <c r="D41" s="39">
        <f t="shared" si="0"/>
        <v>35.328447939685425</v>
      </c>
      <c r="E41" s="38">
        <v>2174254</v>
      </c>
      <c r="F41" s="38">
        <v>14616758</v>
      </c>
      <c r="G41" s="40">
        <v>4.92</v>
      </c>
    </row>
    <row r="42" spans="1:7" x14ac:dyDescent="0.2">
      <c r="A42" t="s">
        <v>97</v>
      </c>
      <c r="B42" s="38">
        <v>64195</v>
      </c>
      <c r="C42" s="38">
        <v>63349</v>
      </c>
      <c r="D42" s="39">
        <f t="shared" si="0"/>
        <v>37.573979068335724</v>
      </c>
      <c r="E42" s="38">
        <v>2380274</v>
      </c>
      <c r="F42" s="38">
        <v>17439971</v>
      </c>
      <c r="G42" s="40">
        <v>4.97</v>
      </c>
    </row>
    <row r="43" spans="1:7" x14ac:dyDescent="0.2">
      <c r="A43" t="s">
        <v>98</v>
      </c>
      <c r="B43" s="38">
        <v>70005</v>
      </c>
      <c r="C43" s="38">
        <v>69110</v>
      </c>
      <c r="D43" s="39">
        <f t="shared" si="0"/>
        <v>38.905368253508897</v>
      </c>
      <c r="E43" s="38">
        <v>2688750</v>
      </c>
      <c r="F43" s="38">
        <v>17372628</v>
      </c>
      <c r="G43" s="40">
        <v>5.26</v>
      </c>
    </row>
    <row r="44" spans="1:7" x14ac:dyDescent="0.2">
      <c r="A44" s="14" t="s">
        <v>99</v>
      </c>
      <c r="B44" s="38">
        <v>72025</v>
      </c>
      <c r="C44" s="38">
        <v>70441</v>
      </c>
      <c r="D44" s="39">
        <f t="shared" si="0"/>
        <v>38.912196022202977</v>
      </c>
      <c r="E44" s="38">
        <v>2741014</v>
      </c>
      <c r="F44" s="38">
        <v>13493831</v>
      </c>
      <c r="G44" s="40">
        <v>5.26</v>
      </c>
    </row>
    <row r="45" spans="1:7" x14ac:dyDescent="0.2">
      <c r="A45" s="14" t="s">
        <v>100</v>
      </c>
      <c r="B45" s="38">
        <v>73730</v>
      </c>
      <c r="C45" s="38">
        <v>72446</v>
      </c>
      <c r="D45" s="39">
        <f t="shared" si="0"/>
        <v>36.630842282527674</v>
      </c>
      <c r="E45" s="38">
        <v>2653758</v>
      </c>
      <c r="F45" s="38">
        <v>12205532</v>
      </c>
      <c r="G45" s="40">
        <v>5.26</v>
      </c>
    </row>
    <row r="46" spans="1:7" x14ac:dyDescent="0.2">
      <c r="A46" s="41">
        <v>2000</v>
      </c>
      <c r="B46" s="42">
        <v>74266</v>
      </c>
      <c r="C46" s="42">
        <v>72408</v>
      </c>
      <c r="D46" s="39">
        <f t="shared" si="0"/>
        <v>38.087089824328807</v>
      </c>
      <c r="E46" s="42">
        <v>2757810</v>
      </c>
      <c r="F46" s="42">
        <v>12466572</v>
      </c>
      <c r="G46" s="43">
        <v>5.26</v>
      </c>
    </row>
    <row r="47" spans="1:7" x14ac:dyDescent="0.2">
      <c r="A47" s="41">
        <v>2001</v>
      </c>
      <c r="B47" s="42">
        <v>74075</v>
      </c>
      <c r="C47" s="42">
        <v>72975</v>
      </c>
      <c r="D47" s="39">
        <f t="shared" si="0"/>
        <v>39.61194929770469</v>
      </c>
      <c r="E47" s="42">
        <v>2890682</v>
      </c>
      <c r="F47" s="42">
        <v>12605717</v>
      </c>
      <c r="G47" s="43">
        <v>5.26</v>
      </c>
    </row>
    <row r="48" spans="1:7" x14ac:dyDescent="0.2">
      <c r="A48" s="41">
        <v>2002</v>
      </c>
      <c r="B48" s="42">
        <v>73963</v>
      </c>
      <c r="C48" s="42">
        <v>72497</v>
      </c>
      <c r="D48" s="39">
        <f t="shared" si="0"/>
        <v>38.017393823192684</v>
      </c>
      <c r="E48" s="42">
        <v>2756147</v>
      </c>
      <c r="F48" s="42">
        <v>15252691</v>
      </c>
      <c r="G48" s="43">
        <v>5</v>
      </c>
    </row>
    <row r="49" spans="1:7" x14ac:dyDescent="0.2">
      <c r="A49" s="41">
        <v>2003</v>
      </c>
      <c r="B49" s="42">
        <v>73404</v>
      </c>
      <c r="C49" s="42">
        <v>72476</v>
      </c>
      <c r="D49" s="39">
        <f t="shared" si="0"/>
        <v>33.857345880015451</v>
      </c>
      <c r="E49" s="42">
        <v>2453845</v>
      </c>
      <c r="F49" s="42">
        <v>18015097</v>
      </c>
      <c r="G49" s="43">
        <v>5</v>
      </c>
    </row>
    <row r="50" spans="1:7" x14ac:dyDescent="0.2">
      <c r="A50" s="41">
        <v>2004</v>
      </c>
      <c r="B50" s="42">
        <v>75208</v>
      </c>
      <c r="C50" s="42">
        <v>73958</v>
      </c>
      <c r="D50" s="39">
        <f t="shared" si="0"/>
        <v>42.237350928905592</v>
      </c>
      <c r="E50" s="42">
        <v>3123790</v>
      </c>
      <c r="F50" s="42">
        <v>17895510</v>
      </c>
      <c r="G50" s="43">
        <v>5</v>
      </c>
    </row>
    <row r="51" spans="1:7" x14ac:dyDescent="0.2">
      <c r="A51" s="41">
        <v>2005</v>
      </c>
      <c r="B51" s="42">
        <v>72032</v>
      </c>
      <c r="C51" s="42">
        <v>71251</v>
      </c>
      <c r="D51" s="39">
        <f t="shared" si="0"/>
        <v>43.06384471796887</v>
      </c>
      <c r="E51" s="42">
        <v>3068342</v>
      </c>
      <c r="F51" s="42">
        <v>17297137</v>
      </c>
      <c r="G51" s="43">
        <v>5</v>
      </c>
    </row>
    <row r="52" spans="1:7" x14ac:dyDescent="0.2">
      <c r="A52" s="41">
        <v>2006</v>
      </c>
      <c r="B52" s="42">
        <v>75522</v>
      </c>
      <c r="C52" s="42">
        <v>74602</v>
      </c>
      <c r="D52" s="39">
        <f t="shared" si="0"/>
        <v>42.850406155330958</v>
      </c>
      <c r="E52" s="42">
        <v>3196726</v>
      </c>
      <c r="F52" s="42">
        <v>20468267</v>
      </c>
      <c r="G52" s="43">
        <v>5</v>
      </c>
    </row>
    <row r="53" spans="1:7" x14ac:dyDescent="0.2">
      <c r="A53" s="41">
        <v>2007</v>
      </c>
      <c r="B53" s="42">
        <v>64741</v>
      </c>
      <c r="C53" s="42">
        <v>64146</v>
      </c>
      <c r="D53" s="39">
        <f t="shared" si="0"/>
        <v>41.734745736289092</v>
      </c>
      <c r="E53" s="42">
        <v>2677117</v>
      </c>
      <c r="F53" s="42">
        <v>26974406</v>
      </c>
      <c r="G53" s="43">
        <v>5</v>
      </c>
    </row>
    <row r="54" spans="1:7" x14ac:dyDescent="0.2">
      <c r="A54" s="41">
        <v>2008</v>
      </c>
      <c r="B54" s="42">
        <v>75718</v>
      </c>
      <c r="C54" s="42">
        <v>74681</v>
      </c>
      <c r="D54" s="39">
        <f>+E54/C54</f>
        <v>39.729074329481392</v>
      </c>
      <c r="E54" s="42">
        <v>2967007</v>
      </c>
      <c r="F54" s="42">
        <v>29458225</v>
      </c>
      <c r="G54" s="43">
        <v>5</v>
      </c>
    </row>
    <row r="55" spans="1:7" x14ac:dyDescent="0.2">
      <c r="A55" s="41">
        <v>2009</v>
      </c>
      <c r="B55" s="42">
        <v>77451</v>
      </c>
      <c r="C55" s="42">
        <v>76372</v>
      </c>
      <c r="D55" s="39">
        <f>+E55/C55</f>
        <v>44.007371811658722</v>
      </c>
      <c r="E55" s="42">
        <v>3360931</v>
      </c>
      <c r="F55" s="42">
        <v>32163204</v>
      </c>
      <c r="G55" s="43">
        <v>5</v>
      </c>
    </row>
    <row r="56" spans="1:7" x14ac:dyDescent="0.2">
      <c r="A56" s="41">
        <v>2010</v>
      </c>
      <c r="B56" s="42">
        <v>77404</v>
      </c>
      <c r="C56" s="42">
        <v>76610</v>
      </c>
      <c r="D56" s="39">
        <f>+E56/C56</f>
        <v>43.483957707871035</v>
      </c>
      <c r="E56" s="42">
        <v>3331306</v>
      </c>
      <c r="F56" s="42">
        <v>37571277</v>
      </c>
      <c r="G56" s="43">
        <v>5</v>
      </c>
    </row>
    <row r="57" spans="1:7" x14ac:dyDescent="0.2">
      <c r="A57" s="41">
        <v>2011</v>
      </c>
      <c r="B57" s="42">
        <v>75046</v>
      </c>
      <c r="C57" s="42">
        <v>73776</v>
      </c>
      <c r="D57" s="39">
        <f t="shared" ref="D57:D62" si="1">+E57/C57</f>
        <v>41.980847430058553</v>
      </c>
      <c r="E57" s="42">
        <v>3097179</v>
      </c>
      <c r="F57" s="42">
        <v>38542177</v>
      </c>
      <c r="G57" s="43">
        <v>5</v>
      </c>
    </row>
    <row r="58" spans="1:7" x14ac:dyDescent="0.2">
      <c r="A58" s="41">
        <v>2012</v>
      </c>
      <c r="B58" s="42">
        <v>77198</v>
      </c>
      <c r="C58" s="42">
        <v>76144</v>
      </c>
      <c r="D58" s="39">
        <f t="shared" si="1"/>
        <v>39.951197730615675</v>
      </c>
      <c r="E58" s="42">
        <v>3042044</v>
      </c>
      <c r="F58" s="42">
        <v>43723144</v>
      </c>
      <c r="G58" s="43">
        <v>5</v>
      </c>
    </row>
    <row r="59" spans="1:7" x14ac:dyDescent="0.2">
      <c r="A59" s="41">
        <v>2013</v>
      </c>
      <c r="B59" s="42">
        <v>76840</v>
      </c>
      <c r="C59" s="42">
        <v>76253</v>
      </c>
      <c r="D59" s="39">
        <f t="shared" si="1"/>
        <v>44.037401807142011</v>
      </c>
      <c r="E59" s="42">
        <v>3357984</v>
      </c>
      <c r="F59" s="42">
        <v>43582901</v>
      </c>
      <c r="G59" s="43">
        <v>5</v>
      </c>
    </row>
    <row r="60" spans="1:7" x14ac:dyDescent="0.2">
      <c r="A60" s="41">
        <v>2014</v>
      </c>
      <c r="B60" s="42">
        <v>83276</v>
      </c>
      <c r="C60" s="42">
        <v>82591</v>
      </c>
      <c r="D60" s="39">
        <f t="shared" si="1"/>
        <v>47.548643314646874</v>
      </c>
      <c r="E60" s="42">
        <v>3927090</v>
      </c>
      <c r="F60" s="44">
        <v>39474861</v>
      </c>
      <c r="G60" s="43">
        <v>5</v>
      </c>
    </row>
    <row r="61" spans="1:7" x14ac:dyDescent="0.2">
      <c r="A61" s="41">
        <v>2015</v>
      </c>
      <c r="B61" s="42">
        <v>82650</v>
      </c>
      <c r="C61" s="42">
        <v>81732</v>
      </c>
      <c r="D61" s="39">
        <f t="shared" si="1"/>
        <v>48.039189056917728</v>
      </c>
      <c r="E61" s="42">
        <v>3926339</v>
      </c>
      <c r="F61" s="44">
        <v>35140734</v>
      </c>
      <c r="G61" s="43">
        <v>5</v>
      </c>
    </row>
    <row r="62" spans="1:7" x14ac:dyDescent="0.2">
      <c r="A62" s="41">
        <v>2016</v>
      </c>
      <c r="B62" s="42">
        <v>83433</v>
      </c>
      <c r="C62" s="42">
        <v>82696</v>
      </c>
      <c r="D62" s="39">
        <f t="shared" si="1"/>
        <v>51.950348263519395</v>
      </c>
      <c r="E62" s="42">
        <v>4296086</v>
      </c>
      <c r="F62" s="44">
        <v>40683934</v>
      </c>
      <c r="G62" s="43">
        <v>5</v>
      </c>
    </row>
    <row r="63" spans="1:7" x14ac:dyDescent="0.2">
      <c r="A63" s="45">
        <v>2017</v>
      </c>
      <c r="B63" s="46">
        <v>90142</v>
      </c>
      <c r="C63" s="47">
        <v>89522</v>
      </c>
      <c r="D63" s="48">
        <f>+E63/C63</f>
        <v>49.0555729317933</v>
      </c>
      <c r="E63" s="47">
        <v>4391553</v>
      </c>
      <c r="F63" s="47">
        <v>40841443</v>
      </c>
      <c r="G63" s="49">
        <v>5</v>
      </c>
    </row>
    <row r="64" spans="1:7" ht="13.15" customHeight="1" x14ac:dyDescent="0.2">
      <c r="A64" s="28" t="s">
        <v>101</v>
      </c>
    </row>
    <row r="65" spans="1:7" x14ac:dyDescent="0.2">
      <c r="A65" s="28" t="s">
        <v>102</v>
      </c>
    </row>
    <row r="66" spans="1:7" x14ac:dyDescent="0.2">
      <c r="A66" s="28" t="s">
        <v>103</v>
      </c>
    </row>
    <row r="67" spans="1:7" ht="13.15" customHeight="1" x14ac:dyDescent="0.2">
      <c r="A67" s="28" t="s">
        <v>104</v>
      </c>
    </row>
    <row r="68" spans="1:7" ht="10.15" customHeight="1" x14ac:dyDescent="0.2">
      <c r="A68" s="50" t="s">
        <v>105</v>
      </c>
    </row>
    <row r="69" spans="1:7" x14ac:dyDescent="0.2">
      <c r="G69" s="51" t="s">
        <v>47</v>
      </c>
    </row>
    <row r="70" spans="1:7" x14ac:dyDescent="0.2">
      <c r="A70" s="50"/>
    </row>
  </sheetData>
  <pageMargins left="0.7" right="0.7" top="0.75" bottom="0.75" header="0.3" footer="0.3"/>
  <pageSetup scale="83" firstPageNumber="29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tabSelected="1" topLeftCell="L1" zoomScaleNormal="100" zoomScaleSheetLayoutView="100" workbookViewId="0">
      <pane ySplit="5" topLeftCell="A6" activePane="bottomLeft" state="frozen"/>
      <selection pane="bottomLeft" activeCell="AB33" sqref="AB33"/>
    </sheetView>
  </sheetViews>
  <sheetFormatPr defaultRowHeight="11.25" x14ac:dyDescent="0.2"/>
  <cols>
    <col min="1" max="1" width="10.6640625" customWidth="1"/>
    <col min="2" max="5" width="11.6640625" customWidth="1"/>
    <col min="6" max="6" width="2.6640625" customWidth="1"/>
    <col min="7" max="11" width="11.6640625" customWidth="1"/>
    <col min="12" max="12" width="12.83203125" customWidth="1"/>
  </cols>
  <sheetData>
    <row r="1" spans="1:14" x14ac:dyDescent="0.2">
      <c r="A1" s="32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4" x14ac:dyDescent="0.2">
      <c r="A2" t="s">
        <v>106</v>
      </c>
      <c r="B2" s="18"/>
      <c r="C2" s="52" t="s">
        <v>107</v>
      </c>
      <c r="D2" s="18"/>
      <c r="E2" s="18"/>
      <c r="G2" s="18"/>
      <c r="H2" s="53" t="s">
        <v>108</v>
      </c>
      <c r="I2" s="18"/>
      <c r="J2" s="18"/>
      <c r="L2" s="34" t="s">
        <v>109</v>
      </c>
    </row>
    <row r="3" spans="1:14" x14ac:dyDescent="0.2">
      <c r="A3" t="s">
        <v>110</v>
      </c>
      <c r="B3" s="33" t="s">
        <v>111</v>
      </c>
      <c r="I3" s="33" t="s">
        <v>112</v>
      </c>
      <c r="K3" s="33" t="s">
        <v>113</v>
      </c>
      <c r="L3" s="33" t="s">
        <v>114</v>
      </c>
    </row>
    <row r="4" spans="1:14" x14ac:dyDescent="0.2">
      <c r="A4" t="s">
        <v>115</v>
      </c>
      <c r="B4" s="37" t="s">
        <v>116</v>
      </c>
      <c r="C4" s="37" t="s">
        <v>52</v>
      </c>
      <c r="D4" s="37" t="s">
        <v>117</v>
      </c>
      <c r="E4" s="37" t="s">
        <v>118</v>
      </c>
      <c r="G4" s="33" t="s">
        <v>119</v>
      </c>
      <c r="H4" s="33" t="s">
        <v>120</v>
      </c>
      <c r="I4" s="33" t="s">
        <v>121</v>
      </c>
      <c r="J4" s="33" t="s">
        <v>21</v>
      </c>
      <c r="K4" s="33" t="s">
        <v>116</v>
      </c>
      <c r="L4" s="33" t="s">
        <v>122</v>
      </c>
      <c r="M4" s="33" t="s">
        <v>244</v>
      </c>
      <c r="N4" s="33" t="s">
        <v>245</v>
      </c>
    </row>
    <row r="5" spans="1:14" x14ac:dyDescent="0.2">
      <c r="A5" s="16"/>
      <c r="B5" s="16"/>
      <c r="C5" s="16"/>
      <c r="D5" s="16"/>
      <c r="E5" s="16"/>
      <c r="F5" s="16"/>
      <c r="G5" s="34"/>
      <c r="H5" s="34"/>
      <c r="I5" s="34" t="s">
        <v>123</v>
      </c>
      <c r="J5" s="34"/>
      <c r="K5" s="16"/>
      <c r="L5" s="34" t="s">
        <v>124</v>
      </c>
    </row>
    <row r="6" spans="1:14" x14ac:dyDescent="0.2">
      <c r="C6" s="54"/>
      <c r="D6" s="54"/>
      <c r="E6" s="54"/>
      <c r="F6" s="54"/>
      <c r="G6" s="54" t="s">
        <v>125</v>
      </c>
      <c r="H6" s="54"/>
      <c r="I6" s="54"/>
      <c r="J6" s="54"/>
      <c r="K6" s="54"/>
      <c r="L6" s="33" t="s">
        <v>126</v>
      </c>
    </row>
    <row r="7" spans="1:14" x14ac:dyDescent="0.2">
      <c r="B7" s="55"/>
      <c r="C7" s="55"/>
      <c r="D7" s="55"/>
      <c r="E7" s="55"/>
      <c r="F7" s="55"/>
      <c r="G7" s="55"/>
      <c r="H7" s="55"/>
      <c r="I7" s="55"/>
      <c r="J7" s="55"/>
      <c r="K7" s="55"/>
      <c r="L7" s="33"/>
    </row>
    <row r="8" spans="1:14" x14ac:dyDescent="0.2">
      <c r="A8" s="7">
        <v>1980</v>
      </c>
      <c r="B8" s="56">
        <v>358</v>
      </c>
      <c r="C8" s="56">
        <f>+[1]tab02!E26/1000</f>
        <v>1797.5429999999999</v>
      </c>
      <c r="D8" s="56">
        <v>0</v>
      </c>
      <c r="E8" s="57">
        <f t="shared" ref="E8:E44" si="0">+B8+C8+D8</f>
        <v>2155.5429999999997</v>
      </c>
      <c r="F8" s="56"/>
      <c r="G8" s="56">
        <v>1020</v>
      </c>
      <c r="H8" s="56">
        <v>724</v>
      </c>
      <c r="I8" s="56">
        <f t="shared" ref="I8:I41" si="1">+J8-G8-H8</f>
        <v>98.535999999999603</v>
      </c>
      <c r="J8" s="56">
        <f t="shared" ref="J8:J41" si="2">+E8-K8</f>
        <v>1842.5359999999996</v>
      </c>
      <c r="K8" s="56">
        <v>313.00700000000001</v>
      </c>
      <c r="L8" s="58">
        <v>7.57</v>
      </c>
      <c r="M8">
        <f>G8/C8*100</f>
        <v>56.744122393734116</v>
      </c>
      <c r="N8">
        <f>H8/C8*100</f>
        <v>40.277200601042644</v>
      </c>
    </row>
    <row r="9" spans="1:14" x14ac:dyDescent="0.2">
      <c r="A9" s="7">
        <v>1981</v>
      </c>
      <c r="B9" s="56">
        <f t="shared" ref="B9:B41" si="3">+K8</f>
        <v>313.00700000000001</v>
      </c>
      <c r="C9" s="56">
        <f>+[1]tab02!E27/1000</f>
        <v>1989.11</v>
      </c>
      <c r="D9" s="56">
        <v>0</v>
      </c>
      <c r="E9" s="57">
        <f t="shared" si="0"/>
        <v>2302.1169999999997</v>
      </c>
      <c r="F9" s="56"/>
      <c r="G9" s="56">
        <v>1030</v>
      </c>
      <c r="H9" s="56">
        <v>929</v>
      </c>
      <c r="I9" s="56">
        <f t="shared" si="1"/>
        <v>88.605999999999767</v>
      </c>
      <c r="J9" s="56">
        <f t="shared" si="2"/>
        <v>2047.6059999999998</v>
      </c>
      <c r="K9" s="56">
        <v>254.511</v>
      </c>
      <c r="L9" s="58">
        <v>6.07</v>
      </c>
      <c r="M9">
        <f t="shared" ref="M9:M45" si="4">G9/C9*100</f>
        <v>51.781952732629165</v>
      </c>
      <c r="N9">
        <f t="shared" ref="N9:N45" si="5">H9/C9*100</f>
        <v>46.704304940400483</v>
      </c>
    </row>
    <row r="10" spans="1:14" x14ac:dyDescent="0.2">
      <c r="A10" s="7">
        <v>1982</v>
      </c>
      <c r="B10" s="56">
        <f t="shared" si="3"/>
        <v>254.511</v>
      </c>
      <c r="C10" s="56">
        <f>+[1]tab02!E28/1000</f>
        <v>2190.297</v>
      </c>
      <c r="D10" s="56">
        <v>0</v>
      </c>
      <c r="E10" s="57">
        <f t="shared" si="0"/>
        <v>2444.808</v>
      </c>
      <c r="F10" s="56"/>
      <c r="G10" s="56">
        <v>1108</v>
      </c>
      <c r="H10" s="56">
        <v>905</v>
      </c>
      <c r="I10" s="56">
        <f t="shared" si="1"/>
        <v>87.173999999999978</v>
      </c>
      <c r="J10" s="56">
        <f t="shared" si="2"/>
        <v>2100.174</v>
      </c>
      <c r="K10" s="56">
        <v>344.63400000000001</v>
      </c>
      <c r="L10" s="58">
        <v>5.71</v>
      </c>
      <c r="M10">
        <f t="shared" si="4"/>
        <v>50.586746911491907</v>
      </c>
      <c r="N10">
        <f t="shared" si="5"/>
        <v>41.318597432220379</v>
      </c>
    </row>
    <row r="11" spans="1:14" x14ac:dyDescent="0.2">
      <c r="A11" s="7">
        <v>1983</v>
      </c>
      <c r="B11" s="56">
        <f t="shared" si="3"/>
        <v>344.63400000000001</v>
      </c>
      <c r="C11" s="56">
        <f>+[1]tab02!E29/1000</f>
        <v>1635.7719999999999</v>
      </c>
      <c r="D11" s="56">
        <v>0</v>
      </c>
      <c r="E11" s="57">
        <f t="shared" si="0"/>
        <v>1980.4059999999999</v>
      </c>
      <c r="F11" s="56"/>
      <c r="G11" s="56">
        <v>983</v>
      </c>
      <c r="H11" s="56">
        <v>743</v>
      </c>
      <c r="I11" s="56">
        <f t="shared" si="1"/>
        <v>78.710000000000036</v>
      </c>
      <c r="J11" s="56">
        <f t="shared" si="2"/>
        <v>1804.71</v>
      </c>
      <c r="K11" s="56">
        <v>175.696</v>
      </c>
      <c r="L11" s="58">
        <v>7.83</v>
      </c>
      <c r="M11">
        <f t="shared" si="4"/>
        <v>60.093949523527733</v>
      </c>
      <c r="N11">
        <f t="shared" si="5"/>
        <v>45.421978124090643</v>
      </c>
    </row>
    <row r="12" spans="1:14" x14ac:dyDescent="0.2">
      <c r="A12" s="7">
        <v>1984</v>
      </c>
      <c r="B12" s="56">
        <f t="shared" si="3"/>
        <v>175.696</v>
      </c>
      <c r="C12" s="56">
        <f>+[1]tab02!E30/1000</f>
        <v>1860.8630000000001</v>
      </c>
      <c r="D12" s="56">
        <v>0</v>
      </c>
      <c r="E12" s="57">
        <f t="shared" si="0"/>
        <v>2036.559</v>
      </c>
      <c r="F12" s="56"/>
      <c r="G12" s="56">
        <v>1030</v>
      </c>
      <c r="H12" s="56">
        <v>598</v>
      </c>
      <c r="I12" s="56">
        <f t="shared" si="1"/>
        <v>92.501999999999953</v>
      </c>
      <c r="J12" s="56">
        <f t="shared" si="2"/>
        <v>1720.502</v>
      </c>
      <c r="K12" s="56">
        <v>316.05700000000002</v>
      </c>
      <c r="L12" s="58">
        <v>5.84</v>
      </c>
      <c r="M12">
        <f t="shared" si="4"/>
        <v>55.350662568926353</v>
      </c>
      <c r="N12">
        <f t="shared" si="5"/>
        <v>32.135627394386368</v>
      </c>
    </row>
    <row r="13" spans="1:14" x14ac:dyDescent="0.2">
      <c r="A13" s="7">
        <v>1985</v>
      </c>
      <c r="B13" s="56">
        <f t="shared" si="3"/>
        <v>316.05700000000002</v>
      </c>
      <c r="C13" s="56">
        <f>+[1]tab02!E31/1000</f>
        <v>2099.056</v>
      </c>
      <c r="D13" s="56">
        <v>1</v>
      </c>
      <c r="E13" s="57">
        <f t="shared" si="0"/>
        <v>2416.1130000000003</v>
      </c>
      <c r="F13" s="56"/>
      <c r="G13" s="56">
        <v>1053</v>
      </c>
      <c r="H13" s="56">
        <v>741</v>
      </c>
      <c r="I13" s="56">
        <f t="shared" si="1"/>
        <v>85.748000000000275</v>
      </c>
      <c r="J13" s="56">
        <f t="shared" si="2"/>
        <v>1879.7480000000003</v>
      </c>
      <c r="K13" s="56">
        <v>536.36500000000001</v>
      </c>
      <c r="L13" s="58">
        <v>5.05</v>
      </c>
      <c r="M13">
        <f t="shared" si="4"/>
        <v>50.165407688027372</v>
      </c>
      <c r="N13">
        <f t="shared" si="5"/>
        <v>35.301583187871117</v>
      </c>
    </row>
    <row r="14" spans="1:14" x14ac:dyDescent="0.2">
      <c r="A14" s="7">
        <v>1986</v>
      </c>
      <c r="B14" s="56">
        <f t="shared" si="3"/>
        <v>536.36500000000001</v>
      </c>
      <c r="C14" s="56">
        <f>+[1]tab02!E32/1000</f>
        <v>1942.558</v>
      </c>
      <c r="D14" s="56">
        <v>0</v>
      </c>
      <c r="E14" s="57">
        <f t="shared" si="0"/>
        <v>2478.9229999999998</v>
      </c>
      <c r="F14" s="56"/>
      <c r="G14" s="56">
        <v>1179</v>
      </c>
      <c r="H14" s="56">
        <v>757</v>
      </c>
      <c r="I14" s="56">
        <f t="shared" si="1"/>
        <v>106.47599999999966</v>
      </c>
      <c r="J14" s="56">
        <f t="shared" si="2"/>
        <v>2042.4759999999997</v>
      </c>
      <c r="K14" s="56">
        <v>436.447</v>
      </c>
      <c r="L14" s="58">
        <v>4.78</v>
      </c>
      <c r="M14">
        <f t="shared" si="4"/>
        <v>60.693168492266381</v>
      </c>
      <c r="N14">
        <f t="shared" si="5"/>
        <v>38.969235410216839</v>
      </c>
    </row>
    <row r="15" spans="1:14" x14ac:dyDescent="0.2">
      <c r="A15" s="7">
        <v>1987</v>
      </c>
      <c r="B15" s="56">
        <f t="shared" si="3"/>
        <v>436.447</v>
      </c>
      <c r="C15" s="56">
        <f>+[1]tab02!E33/1000</f>
        <v>1937.722</v>
      </c>
      <c r="D15" s="56">
        <v>1</v>
      </c>
      <c r="E15" s="57">
        <f t="shared" si="0"/>
        <v>2375.1689999999999</v>
      </c>
      <c r="F15" s="56"/>
      <c r="G15" s="56">
        <v>1174</v>
      </c>
      <c r="H15" s="56">
        <v>804</v>
      </c>
      <c r="I15" s="56">
        <f t="shared" si="1"/>
        <v>94.692999999999756</v>
      </c>
      <c r="J15" s="56">
        <f t="shared" si="2"/>
        <v>2072.6929999999998</v>
      </c>
      <c r="K15" s="56">
        <v>302.476</v>
      </c>
      <c r="L15" s="58">
        <v>5.88</v>
      </c>
      <c r="M15">
        <f t="shared" si="4"/>
        <v>60.58660633465481</v>
      </c>
      <c r="N15">
        <f t="shared" si="5"/>
        <v>41.492020011126471</v>
      </c>
    </row>
    <row r="16" spans="1:14" x14ac:dyDescent="0.2">
      <c r="A16" s="7">
        <v>1988</v>
      </c>
      <c r="B16" s="56">
        <f t="shared" si="3"/>
        <v>302.476</v>
      </c>
      <c r="C16" s="56">
        <f>+[1]tab02!E34/1000</f>
        <v>1548.8409999999999</v>
      </c>
      <c r="D16" s="56">
        <v>4</v>
      </c>
      <c r="E16" s="57">
        <f t="shared" si="0"/>
        <v>1855.317</v>
      </c>
      <c r="F16" s="56"/>
      <c r="G16" s="56">
        <v>1058</v>
      </c>
      <c r="H16" s="56">
        <v>527</v>
      </c>
      <c r="I16" s="56">
        <f t="shared" si="1"/>
        <v>88.288000000000011</v>
      </c>
      <c r="J16" s="56">
        <f t="shared" si="2"/>
        <v>1673.288</v>
      </c>
      <c r="K16" s="56">
        <v>182.029</v>
      </c>
      <c r="L16" s="58">
        <v>7.42</v>
      </c>
      <c r="M16">
        <f t="shared" si="4"/>
        <v>68.309142126273784</v>
      </c>
      <c r="N16">
        <f t="shared" si="5"/>
        <v>34.025442250043746</v>
      </c>
    </row>
    <row r="17" spans="1:14" x14ac:dyDescent="0.2">
      <c r="A17" s="7">
        <v>1989</v>
      </c>
      <c r="B17" s="56">
        <f t="shared" si="3"/>
        <v>182.029</v>
      </c>
      <c r="C17" s="56">
        <f>+[1]tab02!E35/1000</f>
        <v>1923.6659999999999</v>
      </c>
      <c r="D17" s="56">
        <v>1</v>
      </c>
      <c r="E17" s="57">
        <f t="shared" si="0"/>
        <v>2106.6949999999997</v>
      </c>
      <c r="F17" s="56"/>
      <c r="G17" s="56">
        <v>1146</v>
      </c>
      <c r="H17" s="56">
        <v>622</v>
      </c>
      <c r="I17" s="56">
        <f t="shared" si="1"/>
        <v>99.555999999999585</v>
      </c>
      <c r="J17" s="56">
        <f t="shared" si="2"/>
        <v>1867.5559999999996</v>
      </c>
      <c r="K17" s="56">
        <v>239.13900000000001</v>
      </c>
      <c r="L17" s="58">
        <v>5.69</v>
      </c>
      <c r="M17">
        <f t="shared" si="4"/>
        <v>59.573751368480806</v>
      </c>
      <c r="N17">
        <f t="shared" si="5"/>
        <v>32.334095419890978</v>
      </c>
    </row>
    <row r="18" spans="1:14" x14ac:dyDescent="0.2">
      <c r="A18" s="7">
        <v>1990</v>
      </c>
      <c r="B18" s="56">
        <f t="shared" si="3"/>
        <v>239.13900000000001</v>
      </c>
      <c r="C18" s="56">
        <f>+[1]tab02!E36/1000</f>
        <v>1925.9469999999999</v>
      </c>
      <c r="D18" s="56">
        <v>3</v>
      </c>
      <c r="E18" s="57">
        <f t="shared" si="0"/>
        <v>2168.0859999999998</v>
      </c>
      <c r="F18" s="56"/>
      <c r="G18" s="56">
        <v>1187</v>
      </c>
      <c r="H18" s="56">
        <v>557</v>
      </c>
      <c r="I18" s="56">
        <f t="shared" si="1"/>
        <v>95.043999999999869</v>
      </c>
      <c r="J18" s="56">
        <f t="shared" si="2"/>
        <v>1839.0439999999999</v>
      </c>
      <c r="K18" s="56">
        <v>329.04199999999997</v>
      </c>
      <c r="L18" s="58">
        <v>5.74</v>
      </c>
      <c r="M18">
        <f t="shared" si="4"/>
        <v>61.632017911188633</v>
      </c>
      <c r="N18">
        <f t="shared" si="5"/>
        <v>28.920837385452458</v>
      </c>
    </row>
    <row r="19" spans="1:14" x14ac:dyDescent="0.2">
      <c r="A19" s="7">
        <v>1991</v>
      </c>
      <c r="B19" s="56">
        <f t="shared" si="3"/>
        <v>329.04199999999997</v>
      </c>
      <c r="C19" s="56">
        <f>+[1]tab02!E37/1000</f>
        <v>1986.539</v>
      </c>
      <c r="D19" s="56">
        <v>3</v>
      </c>
      <c r="E19" s="57">
        <f t="shared" si="0"/>
        <v>2318.5810000000001</v>
      </c>
      <c r="F19" s="56"/>
      <c r="G19" s="56">
        <v>1254</v>
      </c>
      <c r="H19" s="56">
        <v>684</v>
      </c>
      <c r="I19" s="56">
        <f t="shared" si="1"/>
        <v>102.14400000000023</v>
      </c>
      <c r="J19" s="56">
        <f t="shared" si="2"/>
        <v>2040.1440000000002</v>
      </c>
      <c r="K19" s="56">
        <v>278.43700000000001</v>
      </c>
      <c r="L19" s="58">
        <v>5.58</v>
      </c>
      <c r="M19">
        <f t="shared" si="4"/>
        <v>63.124861882902884</v>
      </c>
      <c r="N19">
        <f t="shared" si="5"/>
        <v>34.431742845219752</v>
      </c>
    </row>
    <row r="20" spans="1:14" x14ac:dyDescent="0.2">
      <c r="A20" s="7">
        <v>1992</v>
      </c>
      <c r="B20" s="56">
        <f t="shared" si="3"/>
        <v>278.43700000000001</v>
      </c>
      <c r="C20" s="56">
        <f>+[1]tab02!E38/1000</f>
        <v>2190.3539999999998</v>
      </c>
      <c r="D20" s="56">
        <v>2.0567152327931999</v>
      </c>
      <c r="E20" s="57">
        <f t="shared" si="0"/>
        <v>2470.8477152327928</v>
      </c>
      <c r="F20" s="56"/>
      <c r="G20" s="56">
        <v>1279</v>
      </c>
      <c r="H20" s="56">
        <v>771</v>
      </c>
      <c r="I20" s="56">
        <f t="shared" si="1"/>
        <v>128.56371523279267</v>
      </c>
      <c r="J20" s="56">
        <f t="shared" si="2"/>
        <v>2178.5637152327927</v>
      </c>
      <c r="K20" s="56">
        <v>292.28399999999999</v>
      </c>
      <c r="L20" s="58">
        <v>5.56</v>
      </c>
      <c r="M20">
        <f t="shared" si="4"/>
        <v>58.392387714497296</v>
      </c>
      <c r="N20">
        <f t="shared" si="5"/>
        <v>35.199789623047231</v>
      </c>
    </row>
    <row r="21" spans="1:14" x14ac:dyDescent="0.2">
      <c r="A21" s="7">
        <v>1993</v>
      </c>
      <c r="B21" s="56">
        <f t="shared" si="3"/>
        <v>292.28399999999999</v>
      </c>
      <c r="C21" s="56">
        <f>+[1]tab02!E39/1000</f>
        <v>1869.7180000000001</v>
      </c>
      <c r="D21" s="56">
        <v>6.4164705762675007</v>
      </c>
      <c r="E21" s="57">
        <f t="shared" si="0"/>
        <v>2168.4184705762673</v>
      </c>
      <c r="F21" s="56"/>
      <c r="G21" s="56">
        <v>1276</v>
      </c>
      <c r="H21" s="56">
        <v>588</v>
      </c>
      <c r="I21" s="56">
        <f t="shared" si="1"/>
        <v>95.30147057626732</v>
      </c>
      <c r="J21" s="56">
        <f t="shared" si="2"/>
        <v>1959.3014705762673</v>
      </c>
      <c r="K21" s="56">
        <v>209.11699999999999</v>
      </c>
      <c r="L21" s="58">
        <v>6.4</v>
      </c>
      <c r="M21">
        <f t="shared" si="4"/>
        <v>68.245585697950176</v>
      </c>
      <c r="N21">
        <f t="shared" si="5"/>
        <v>31.448592782440986</v>
      </c>
    </row>
    <row r="22" spans="1:14" x14ac:dyDescent="0.2">
      <c r="A22" s="7">
        <v>1994</v>
      </c>
      <c r="B22" s="56">
        <f t="shared" si="3"/>
        <v>209.11699999999999</v>
      </c>
      <c r="C22" s="56">
        <f>+[1]tab02!E40/1000</f>
        <v>2514.8690000000001</v>
      </c>
      <c r="D22" s="56">
        <v>5.4799449460455003</v>
      </c>
      <c r="E22" s="57">
        <f t="shared" si="0"/>
        <v>2729.465944946046</v>
      </c>
      <c r="F22" s="56"/>
      <c r="G22" s="56">
        <v>1405</v>
      </c>
      <c r="H22" s="56">
        <v>840</v>
      </c>
      <c r="I22" s="56">
        <f t="shared" si="1"/>
        <v>149.65194494604611</v>
      </c>
      <c r="J22" s="56">
        <f t="shared" si="2"/>
        <v>2394.6519449460461</v>
      </c>
      <c r="K22" s="56">
        <v>334.81400000000002</v>
      </c>
      <c r="L22" s="58">
        <v>5.48</v>
      </c>
      <c r="M22">
        <f t="shared" si="4"/>
        <v>55.867721141737405</v>
      </c>
      <c r="N22">
        <f t="shared" si="5"/>
        <v>33.401342177266486</v>
      </c>
    </row>
    <row r="23" spans="1:14" x14ac:dyDescent="0.2">
      <c r="A23" s="7">
        <v>1995</v>
      </c>
      <c r="B23" s="56">
        <f t="shared" si="3"/>
        <v>334.81400000000002</v>
      </c>
      <c r="C23" s="56">
        <f>+[1]tab02!E41/1000</f>
        <v>2174.2539999999999</v>
      </c>
      <c r="D23" s="56">
        <v>4.4558110914512996</v>
      </c>
      <c r="E23" s="57">
        <f t="shared" si="0"/>
        <v>2513.5238110914511</v>
      </c>
      <c r="F23" s="56"/>
      <c r="G23" s="56">
        <v>1370</v>
      </c>
      <c r="H23" s="56">
        <v>849</v>
      </c>
      <c r="I23" s="56">
        <f t="shared" si="1"/>
        <v>111.065811091451</v>
      </c>
      <c r="J23" s="56">
        <f t="shared" si="2"/>
        <v>2330.065811091451</v>
      </c>
      <c r="K23" s="56">
        <v>183.458</v>
      </c>
      <c r="L23" s="58">
        <v>6.72</v>
      </c>
      <c r="M23">
        <f t="shared" si="4"/>
        <v>63.010117493172366</v>
      </c>
      <c r="N23">
        <f t="shared" si="5"/>
        <v>39.047875731170322</v>
      </c>
    </row>
    <row r="24" spans="1:14" x14ac:dyDescent="0.2">
      <c r="A24" s="7">
        <v>1996</v>
      </c>
      <c r="B24" s="56">
        <f t="shared" si="3"/>
        <v>183.458</v>
      </c>
      <c r="C24" s="56">
        <f>+[1]tab02!E42/1000</f>
        <v>2380.2739999999999</v>
      </c>
      <c r="D24" s="56">
        <v>8.9039324246229015</v>
      </c>
      <c r="E24" s="57">
        <f t="shared" si="0"/>
        <v>2572.6359324246228</v>
      </c>
      <c r="F24" s="56"/>
      <c r="G24" s="56">
        <v>1436</v>
      </c>
      <c r="H24" s="56">
        <v>886</v>
      </c>
      <c r="I24" s="56">
        <f t="shared" si="1"/>
        <v>118.80293242462267</v>
      </c>
      <c r="J24" s="56">
        <f t="shared" si="2"/>
        <v>2440.8029324246227</v>
      </c>
      <c r="K24" s="56">
        <v>131.833</v>
      </c>
      <c r="L24" s="58">
        <v>7.35</v>
      </c>
      <c r="M24">
        <f t="shared" si="4"/>
        <v>60.329188992527747</v>
      </c>
      <c r="N24">
        <f t="shared" si="5"/>
        <v>37.222605464749023</v>
      </c>
    </row>
    <row r="25" spans="1:14" x14ac:dyDescent="0.2">
      <c r="A25" s="7">
        <v>1997</v>
      </c>
      <c r="B25" s="56">
        <f t="shared" si="3"/>
        <v>131.833</v>
      </c>
      <c r="C25" s="56">
        <f>+[1]tab02!E43/1000</f>
        <v>2688.75</v>
      </c>
      <c r="D25" s="56">
        <v>5.0059507383774005</v>
      </c>
      <c r="E25" s="57">
        <f t="shared" si="0"/>
        <v>2825.5889507383777</v>
      </c>
      <c r="F25" s="56"/>
      <c r="G25" s="56">
        <v>1597</v>
      </c>
      <c r="H25" s="56">
        <v>874</v>
      </c>
      <c r="I25" s="56">
        <f t="shared" si="1"/>
        <v>154.78995073837768</v>
      </c>
      <c r="J25" s="56">
        <f t="shared" si="2"/>
        <v>2625.7899507383777</v>
      </c>
      <c r="K25" s="56">
        <v>199.79900000000001</v>
      </c>
      <c r="L25" s="58">
        <v>6.47</v>
      </c>
      <c r="M25">
        <f t="shared" si="4"/>
        <v>59.395629939563001</v>
      </c>
      <c r="N25">
        <f t="shared" si="5"/>
        <v>32.505811250581125</v>
      </c>
    </row>
    <row r="26" spans="1:14" x14ac:dyDescent="0.2">
      <c r="A26" s="7">
        <v>1998</v>
      </c>
      <c r="B26" s="56">
        <f t="shared" si="3"/>
        <v>199.79900000000001</v>
      </c>
      <c r="C26" s="56">
        <f>+[1]tab02!E44/1000</f>
        <v>2741.0140000000001</v>
      </c>
      <c r="D26" s="56">
        <v>3.5211952517805001</v>
      </c>
      <c r="E26" s="57">
        <f t="shared" si="0"/>
        <v>2944.3341952517808</v>
      </c>
      <c r="F26" s="56"/>
      <c r="G26" s="56">
        <v>1590</v>
      </c>
      <c r="H26" s="56">
        <v>805</v>
      </c>
      <c r="I26" s="56">
        <f t="shared" si="1"/>
        <v>200.85219525178081</v>
      </c>
      <c r="J26" s="56">
        <f t="shared" si="2"/>
        <v>2595.8521952517808</v>
      </c>
      <c r="K26" s="56">
        <v>348.48200000000003</v>
      </c>
      <c r="L26" s="58">
        <v>4.93</v>
      </c>
      <c r="M26">
        <f t="shared" si="4"/>
        <v>58.007729986056255</v>
      </c>
      <c r="N26">
        <f t="shared" si="5"/>
        <v>29.368693483506469</v>
      </c>
    </row>
    <row r="27" spans="1:14" x14ac:dyDescent="0.2">
      <c r="A27" s="7">
        <v>1999</v>
      </c>
      <c r="B27" s="56">
        <f t="shared" si="3"/>
        <v>348.48200000000003</v>
      </c>
      <c r="C27" s="56">
        <f>+[1]tab02!E45/1000</f>
        <v>2653.7579999999998</v>
      </c>
      <c r="D27" s="56">
        <v>4.1711473593153006</v>
      </c>
      <c r="E27" s="57">
        <f t="shared" si="0"/>
        <v>3006.4111473593152</v>
      </c>
      <c r="F27" s="56"/>
      <c r="G27" s="56">
        <v>1578</v>
      </c>
      <c r="H27" s="56">
        <v>973</v>
      </c>
      <c r="I27" s="56">
        <f t="shared" si="1"/>
        <v>165.24914735931543</v>
      </c>
      <c r="J27" s="56">
        <f t="shared" si="2"/>
        <v>2716.2491473593154</v>
      </c>
      <c r="K27" s="56">
        <f>+[1]tab01!D8/1000</f>
        <v>290.16199999999998</v>
      </c>
      <c r="L27" s="58">
        <v>4.63</v>
      </c>
      <c r="M27">
        <f t="shared" si="4"/>
        <v>59.46284476580005</v>
      </c>
      <c r="N27">
        <f t="shared" si="5"/>
        <v>36.664986031130198</v>
      </c>
    </row>
    <row r="28" spans="1:14" x14ac:dyDescent="0.2">
      <c r="A28" s="7">
        <v>2000</v>
      </c>
      <c r="B28" s="56">
        <f t="shared" si="3"/>
        <v>290.16199999999998</v>
      </c>
      <c r="C28" s="56">
        <f>+[1]tab02!E46/1000</f>
        <v>2757.81</v>
      </c>
      <c r="D28" s="56">
        <v>3.5678253219336002</v>
      </c>
      <c r="E28" s="57">
        <f t="shared" si="0"/>
        <v>3051.5398253219332</v>
      </c>
      <c r="F28" s="57"/>
      <c r="G28" s="57">
        <f>[1]tab6!F12/1000</f>
        <v>1639.67</v>
      </c>
      <c r="H28" s="57">
        <f>[1]tab6!G12/1000</f>
        <v>995.87118845340001</v>
      </c>
      <c r="I28" s="56">
        <f t="shared" si="1"/>
        <v>168.2516368685333</v>
      </c>
      <c r="J28" s="56">
        <f t="shared" si="2"/>
        <v>2803.7928253219334</v>
      </c>
      <c r="K28" s="57">
        <f>+[1]tab01!D13/1000</f>
        <v>247.74700000000001</v>
      </c>
      <c r="L28" s="58">
        <v>4.54</v>
      </c>
      <c r="M28">
        <f t="shared" si="4"/>
        <v>59.455509987997722</v>
      </c>
      <c r="N28">
        <f t="shared" si="5"/>
        <v>36.110942684717223</v>
      </c>
    </row>
    <row r="29" spans="1:14" x14ac:dyDescent="0.2">
      <c r="A29" s="41">
        <v>2001</v>
      </c>
      <c r="B29" s="56">
        <f t="shared" si="3"/>
        <v>247.74700000000001</v>
      </c>
      <c r="C29" s="56">
        <f>+[1]tab02!E47/1000</f>
        <v>2890.6819999999998</v>
      </c>
      <c r="D29" s="56">
        <v>2.3197743674594999</v>
      </c>
      <c r="E29" s="57">
        <f t="shared" si="0"/>
        <v>3140.7487743674592</v>
      </c>
      <c r="F29" s="56"/>
      <c r="G29" s="56">
        <f>[1]tab6!F19/1000</f>
        <v>1699.7408</v>
      </c>
      <c r="H29" s="56">
        <f>[1]tab6!G19/1000</f>
        <v>1063.6514467383001</v>
      </c>
      <c r="I29" s="56">
        <f t="shared" si="1"/>
        <v>169.29552762915887</v>
      </c>
      <c r="J29" s="56">
        <f t="shared" si="2"/>
        <v>2932.687774367459</v>
      </c>
      <c r="K29" s="56">
        <f>+[1]tab01!D18/1000</f>
        <v>208.06100000000001</v>
      </c>
      <c r="L29" s="58">
        <v>4.38</v>
      </c>
      <c r="M29">
        <f t="shared" si="4"/>
        <v>58.800684405963722</v>
      </c>
      <c r="N29">
        <f t="shared" si="5"/>
        <v>36.795865015186735</v>
      </c>
    </row>
    <row r="30" spans="1:14" x14ac:dyDescent="0.2">
      <c r="A30" s="41">
        <v>2002</v>
      </c>
      <c r="B30" s="56">
        <f t="shared" si="3"/>
        <v>208.06100000000001</v>
      </c>
      <c r="C30" s="56">
        <f>+[1]tab02!E48/1000</f>
        <v>2756.1469999999999</v>
      </c>
      <c r="D30" s="56">
        <v>4.6609782486581999</v>
      </c>
      <c r="E30" s="57">
        <f t="shared" si="0"/>
        <v>2968.8689782486581</v>
      </c>
      <c r="F30" s="56"/>
      <c r="G30" s="56">
        <f>[1]tab6!F26/1000</f>
        <v>1614.7874333333334</v>
      </c>
      <c r="H30" s="56">
        <f>[1]tab6!G26/1000</f>
        <v>1044.3721008357002</v>
      </c>
      <c r="I30" s="56">
        <f t="shared" si="1"/>
        <v>131.38044407962434</v>
      </c>
      <c r="J30" s="56">
        <f t="shared" si="2"/>
        <v>2790.5399782486579</v>
      </c>
      <c r="K30" s="56">
        <f>+[1]tab01!D23/1000</f>
        <v>178.32900000000001</v>
      </c>
      <c r="L30" s="58">
        <v>5.53</v>
      </c>
      <c r="M30">
        <f t="shared" si="4"/>
        <v>58.588581571786023</v>
      </c>
      <c r="N30">
        <f t="shared" si="5"/>
        <v>37.89246730438181</v>
      </c>
    </row>
    <row r="31" spans="1:14" x14ac:dyDescent="0.2">
      <c r="A31" s="41">
        <v>2003</v>
      </c>
      <c r="B31" s="56">
        <f t="shared" si="3"/>
        <v>178.32900000000001</v>
      </c>
      <c r="C31" s="56">
        <f>+[1]tab02!E49/1000</f>
        <v>2453.8449999999998</v>
      </c>
      <c r="D31" s="56">
        <v>5.5615535121069</v>
      </c>
      <c r="E31" s="57">
        <f t="shared" si="0"/>
        <v>2637.7355535121069</v>
      </c>
      <c r="F31" s="56"/>
      <c r="G31" s="56">
        <f>[1]tab6!F33/1000</f>
        <v>1529.6987333333334</v>
      </c>
      <c r="H31" s="56">
        <f>[1]tab6!G33/1000</f>
        <v>886.55056059570006</v>
      </c>
      <c r="I31" s="56">
        <f t="shared" si="1"/>
        <v>109.07225958307322</v>
      </c>
      <c r="J31" s="56">
        <f t="shared" si="2"/>
        <v>2525.3215535121067</v>
      </c>
      <c r="K31" s="56">
        <f>+[1]tab01!D28/1000</f>
        <v>112.414</v>
      </c>
      <c r="L31" s="58">
        <v>7.34</v>
      </c>
      <c r="M31">
        <f t="shared" si="4"/>
        <v>62.338849166647989</v>
      </c>
      <c r="N31">
        <f t="shared" si="5"/>
        <v>36.12903669937181</v>
      </c>
    </row>
    <row r="32" spans="1:14" x14ac:dyDescent="0.2">
      <c r="A32" s="41">
        <v>2004</v>
      </c>
      <c r="B32" s="56">
        <f t="shared" si="3"/>
        <v>112.414</v>
      </c>
      <c r="C32" s="56">
        <f>+[1]tab02!E50/1000</f>
        <v>3123.79</v>
      </c>
      <c r="D32" s="56">
        <v>5.5775644691508006</v>
      </c>
      <c r="E32" s="57">
        <f t="shared" si="0"/>
        <v>3241.7815644691509</v>
      </c>
      <c r="F32" s="56"/>
      <c r="G32" s="56">
        <f>[1]tab6!F40/1000</f>
        <v>1696.0812333333333</v>
      </c>
      <c r="H32" s="56">
        <f>[1]tab6!G40/1000</f>
        <v>1097.1562998144</v>
      </c>
      <c r="I32" s="56">
        <f t="shared" si="1"/>
        <v>192.80603132141778</v>
      </c>
      <c r="J32" s="56">
        <f t="shared" si="2"/>
        <v>2986.0435644691511</v>
      </c>
      <c r="K32" s="56">
        <f>[1]tab01!D33/1000</f>
        <v>255.738</v>
      </c>
      <c r="L32" s="58">
        <v>5.74</v>
      </c>
      <c r="M32">
        <f t="shared" si="4"/>
        <v>54.29562273178842</v>
      </c>
      <c r="N32">
        <f t="shared" si="5"/>
        <v>35.122601065193244</v>
      </c>
    </row>
    <row r="33" spans="1:14" x14ac:dyDescent="0.2">
      <c r="A33" s="41">
        <v>2005</v>
      </c>
      <c r="B33" s="56">
        <f t="shared" si="3"/>
        <v>255.738</v>
      </c>
      <c r="C33" s="56">
        <f>+[1]tab02!E51/1000</f>
        <v>3068.3420000000001</v>
      </c>
      <c r="D33" s="56">
        <v>3.3720085912715998</v>
      </c>
      <c r="E33" s="57">
        <f t="shared" si="0"/>
        <v>3327.4520085912714</v>
      </c>
      <c r="F33" s="56"/>
      <c r="G33" s="56">
        <f>[1]tab6!F47/1000</f>
        <v>1738.8517333333334</v>
      </c>
      <c r="H33" s="56">
        <f>[1]tab6!G47/1000</f>
        <v>939.87875005290005</v>
      </c>
      <c r="I33" s="56">
        <f t="shared" si="1"/>
        <v>199.39552520503787</v>
      </c>
      <c r="J33" s="56">
        <f t="shared" si="2"/>
        <v>2878.1260085912713</v>
      </c>
      <c r="K33" s="56">
        <f>[1]tab01!D38/1000</f>
        <v>449.32600000000002</v>
      </c>
      <c r="L33" s="58">
        <v>5.66</v>
      </c>
      <c r="M33">
        <f t="shared" si="4"/>
        <v>56.670727491698557</v>
      </c>
      <c r="N33">
        <f t="shared" si="5"/>
        <v>30.631485996440421</v>
      </c>
    </row>
    <row r="34" spans="1:14" x14ac:dyDescent="0.2">
      <c r="A34" s="41">
        <v>2006</v>
      </c>
      <c r="B34" s="56">
        <f t="shared" si="3"/>
        <v>449.32600000000002</v>
      </c>
      <c r="C34" s="56">
        <f>+[1]tab02!E52/1000</f>
        <v>3196.7260000000001</v>
      </c>
      <c r="D34" s="56">
        <v>9.0337511501685004</v>
      </c>
      <c r="E34" s="57">
        <f t="shared" si="0"/>
        <v>3655.0857511501686</v>
      </c>
      <c r="F34" s="56"/>
      <c r="G34" s="56">
        <f>[1]tab6!F54/1000</f>
        <v>1807.7056423333333</v>
      </c>
      <c r="H34" s="56">
        <f>[1]tab6!G54/1000</f>
        <v>1116.4958686412999</v>
      </c>
      <c r="I34" s="56">
        <f t="shared" si="1"/>
        <v>157.07424017553535</v>
      </c>
      <c r="J34" s="56">
        <f t="shared" si="2"/>
        <v>3081.2757511501686</v>
      </c>
      <c r="K34" s="56">
        <f>[1]tab01!D43/1000</f>
        <v>573.80999999999995</v>
      </c>
      <c r="L34" s="58">
        <v>6.43</v>
      </c>
      <c r="M34">
        <f t="shared" si="4"/>
        <v>56.548657668293536</v>
      </c>
      <c r="N34">
        <f t="shared" si="5"/>
        <v>34.926229793898507</v>
      </c>
    </row>
    <row r="35" spans="1:14" x14ac:dyDescent="0.2">
      <c r="A35" s="41">
        <v>2007</v>
      </c>
      <c r="B35" s="56">
        <f t="shared" si="3"/>
        <v>573.80999999999995</v>
      </c>
      <c r="C35" s="56">
        <f>+[1]tab02!E53/1000</f>
        <v>2677.1170000000002</v>
      </c>
      <c r="D35" s="56">
        <v>9.8708029129773003</v>
      </c>
      <c r="E35" s="57">
        <f t="shared" si="0"/>
        <v>3260.7978029129777</v>
      </c>
      <c r="F35" s="56"/>
      <c r="G35" s="56">
        <f>[1]tab6!F61/1000</f>
        <v>1803.4073376666665</v>
      </c>
      <c r="H35" s="56">
        <f>[1]tab6!G61/1000</f>
        <v>1158.8290570290001</v>
      </c>
      <c r="I35" s="56">
        <f t="shared" si="1"/>
        <v>93.527408217310949</v>
      </c>
      <c r="J35" s="56">
        <f t="shared" si="2"/>
        <v>3055.7638029129776</v>
      </c>
      <c r="K35" s="56">
        <f>[1]tab01!D48/1000</f>
        <v>205.03399999999999</v>
      </c>
      <c r="L35" s="58">
        <v>10.1</v>
      </c>
      <c r="M35">
        <f t="shared" si="4"/>
        <v>67.363784909911161</v>
      </c>
      <c r="N35">
        <f t="shared" si="5"/>
        <v>43.286455430562057</v>
      </c>
    </row>
    <row r="36" spans="1:14" x14ac:dyDescent="0.2">
      <c r="A36" s="41">
        <v>2008</v>
      </c>
      <c r="B36" s="56">
        <f t="shared" si="3"/>
        <v>205.03399999999999</v>
      </c>
      <c r="C36" s="56">
        <f>+[1]tab02!E54/1000</f>
        <v>2967.0070000000001</v>
      </c>
      <c r="D36" s="56">
        <v>13.2631296312942</v>
      </c>
      <c r="E36" s="57">
        <f t="shared" si="0"/>
        <v>3185.3041296312945</v>
      </c>
      <c r="F36" s="56"/>
      <c r="G36" s="56">
        <f>[1]tab6!F68/1000</f>
        <v>1661.9220666666665</v>
      </c>
      <c r="H36" s="56">
        <f>[1]tab6!G68/1000</f>
        <v>1279.2935714286</v>
      </c>
      <c r="I36" s="56">
        <f t="shared" si="1"/>
        <v>105.89049153602809</v>
      </c>
      <c r="J36" s="56">
        <f t="shared" si="2"/>
        <v>3047.1061296312946</v>
      </c>
      <c r="K36" s="56">
        <f>[1]tab01!D53/1000</f>
        <v>138.19800000000001</v>
      </c>
      <c r="L36" s="58">
        <v>9.9700000000000006</v>
      </c>
      <c r="M36">
        <f t="shared" si="4"/>
        <v>56.013419134726227</v>
      </c>
      <c r="N36">
        <f t="shared" si="5"/>
        <v>43.117308837781643</v>
      </c>
    </row>
    <row r="37" spans="1:14" x14ac:dyDescent="0.2">
      <c r="A37" s="41">
        <v>2009</v>
      </c>
      <c r="B37" s="56">
        <f t="shared" si="3"/>
        <v>138.19800000000001</v>
      </c>
      <c r="C37" s="56">
        <f>+[1]tab02!E55/1000</f>
        <v>3360.931</v>
      </c>
      <c r="D37" s="56">
        <v>14.5881068286513</v>
      </c>
      <c r="E37" s="57">
        <f t="shared" si="0"/>
        <v>3513.7171068286511</v>
      </c>
      <c r="F37" s="56"/>
      <c r="G37" s="56">
        <f>[1]tab6!F75/1000</f>
        <v>1751.6862683333336</v>
      </c>
      <c r="H37" s="56">
        <f>[1]tab6!G75/1000</f>
        <v>1499.0481245103001</v>
      </c>
      <c r="I37" s="56">
        <f t="shared" si="1"/>
        <v>112.09771398501766</v>
      </c>
      <c r="J37" s="56">
        <f t="shared" si="2"/>
        <v>3362.8321068286514</v>
      </c>
      <c r="K37" s="56">
        <f>[1]tab01!D58/1000</f>
        <v>150.88499999999999</v>
      </c>
      <c r="L37" s="58">
        <v>9.59</v>
      </c>
      <c r="M37">
        <f t="shared" si="4"/>
        <v>52.119078562854568</v>
      </c>
      <c r="N37">
        <f t="shared" si="5"/>
        <v>44.60216899752777</v>
      </c>
    </row>
    <row r="38" spans="1:14" x14ac:dyDescent="0.2">
      <c r="A38" s="41">
        <v>2010</v>
      </c>
      <c r="B38" s="56">
        <f t="shared" si="3"/>
        <v>150.88499999999999</v>
      </c>
      <c r="C38" s="56">
        <f>+[1]tab02!E56/1000</f>
        <v>3331.306</v>
      </c>
      <c r="D38" s="56">
        <v>14.4490964828322</v>
      </c>
      <c r="E38" s="57">
        <f t="shared" si="0"/>
        <v>3496.6400964828322</v>
      </c>
      <c r="F38" s="56"/>
      <c r="G38" s="56">
        <f>[1]tab6!F82/1000</f>
        <v>1648.0425946666669</v>
      </c>
      <c r="H38" s="56">
        <f>[1]tab6!G82/1000</f>
        <v>1504.9776390978</v>
      </c>
      <c r="I38" s="56">
        <f t="shared" si="1"/>
        <v>128.60686271836539</v>
      </c>
      <c r="J38" s="56">
        <f t="shared" si="2"/>
        <v>3281.6270964828323</v>
      </c>
      <c r="K38" s="56">
        <f>[1]tab01!D63/1000</f>
        <v>215.01300000000001</v>
      </c>
      <c r="L38" s="58">
        <v>11.3</v>
      </c>
      <c r="M38">
        <f t="shared" si="4"/>
        <v>49.471366324998876</v>
      </c>
      <c r="N38">
        <f t="shared" si="5"/>
        <v>45.176805706164487</v>
      </c>
    </row>
    <row r="39" spans="1:14" x14ac:dyDescent="0.2">
      <c r="A39" s="41">
        <v>2011</v>
      </c>
      <c r="B39" s="56">
        <f t="shared" si="3"/>
        <v>215.01300000000001</v>
      </c>
      <c r="C39" s="56">
        <f>+[1]tab02!E57/1000</f>
        <v>3097.1790000000001</v>
      </c>
      <c r="D39" s="56">
        <v>16.132001704578901</v>
      </c>
      <c r="E39" s="57">
        <f t="shared" si="0"/>
        <v>3328.3240017045791</v>
      </c>
      <c r="F39" s="56"/>
      <c r="G39" s="56">
        <f>[1]tab6!F89/1000</f>
        <v>1703.019</v>
      </c>
      <c r="H39" s="56">
        <f>[1]tab6!G89/1000</f>
        <v>1365.2509814978098</v>
      </c>
      <c r="I39" s="56">
        <f t="shared" si="1"/>
        <v>90.684020206769446</v>
      </c>
      <c r="J39" s="56">
        <f t="shared" si="2"/>
        <v>3158.9540017045792</v>
      </c>
      <c r="K39" s="56">
        <f>[1]tab01!D68/1000</f>
        <v>169.37</v>
      </c>
      <c r="L39" s="58">
        <v>12.5</v>
      </c>
      <c r="M39">
        <f t="shared" si="4"/>
        <v>54.986134156275753</v>
      </c>
      <c r="N39">
        <f t="shared" si="5"/>
        <v>44.080467467260036</v>
      </c>
    </row>
    <row r="40" spans="1:14" x14ac:dyDescent="0.2">
      <c r="A40" s="41">
        <v>2012</v>
      </c>
      <c r="B40" s="56">
        <f t="shared" si="3"/>
        <v>169.37</v>
      </c>
      <c r="C40" s="56">
        <f>+[1]tab02!E58/1000</f>
        <v>3042.0439999999999</v>
      </c>
      <c r="D40" s="56">
        <v>40.516441188976195</v>
      </c>
      <c r="E40" s="57">
        <f t="shared" si="0"/>
        <v>3251.9304411889761</v>
      </c>
      <c r="F40" s="56"/>
      <c r="G40" s="56">
        <f>[1]tab6!F96/1000</f>
        <v>1688.903</v>
      </c>
      <c r="H40" s="56">
        <f>[1]tab6!G96/1000</f>
        <v>1327.5260000000001</v>
      </c>
      <c r="I40" s="56">
        <f t="shared" si="1"/>
        <v>94.94444118897627</v>
      </c>
      <c r="J40" s="56">
        <f t="shared" si="2"/>
        <v>3111.3734411889764</v>
      </c>
      <c r="K40" s="56">
        <f>[1]tab01!D73/1000</f>
        <v>140.55699999999999</v>
      </c>
      <c r="L40" s="58">
        <v>14.4</v>
      </c>
      <c r="M40">
        <f t="shared" si="4"/>
        <v>55.518690722422157</v>
      </c>
      <c r="N40">
        <f t="shared" si="5"/>
        <v>43.639276749448733</v>
      </c>
    </row>
    <row r="41" spans="1:14" x14ac:dyDescent="0.2">
      <c r="A41" s="41">
        <v>2013</v>
      </c>
      <c r="B41" s="56">
        <f t="shared" si="3"/>
        <v>140.55699999999999</v>
      </c>
      <c r="C41" s="56">
        <f>+[1]tab02!E59/1000</f>
        <v>3357.9839999999999</v>
      </c>
      <c r="D41" s="56">
        <v>71.777046168786015</v>
      </c>
      <c r="E41" s="57">
        <f t="shared" si="0"/>
        <v>3570.3180461687857</v>
      </c>
      <c r="F41" s="56"/>
      <c r="G41" s="56">
        <f>[1]tab6!F103/1000</f>
        <v>1733.8879999999999</v>
      </c>
      <c r="H41" s="56">
        <f>[1]tab6!G103/1000</f>
        <v>1638.5589397691786</v>
      </c>
      <c r="I41" s="56">
        <f t="shared" si="1"/>
        <v>105.88010639960726</v>
      </c>
      <c r="J41" s="56">
        <f t="shared" si="2"/>
        <v>3478.3270461687857</v>
      </c>
      <c r="K41" s="56">
        <f>[1]tab01!D78/1000</f>
        <v>91.991</v>
      </c>
      <c r="L41" s="58">
        <v>13</v>
      </c>
      <c r="M41">
        <f t="shared" si="4"/>
        <v>51.634790398048345</v>
      </c>
      <c r="N41">
        <f t="shared" si="5"/>
        <v>48.795912659773798</v>
      </c>
    </row>
    <row r="42" spans="1:14" x14ac:dyDescent="0.2">
      <c r="A42" s="41">
        <v>2014</v>
      </c>
      <c r="B42" s="56">
        <f>+K41</f>
        <v>91.991</v>
      </c>
      <c r="C42" s="56">
        <f>+[1]tab02!E60/1000</f>
        <v>3927.09</v>
      </c>
      <c r="D42" s="56">
        <v>33.224673398137199</v>
      </c>
      <c r="E42" s="57">
        <f t="shared" si="0"/>
        <v>4052.3056733981375</v>
      </c>
      <c r="F42" s="56"/>
      <c r="G42" s="56">
        <f>[1]tab6!F110/1000</f>
        <v>1873.4937851587886</v>
      </c>
      <c r="H42" s="56">
        <f>[1]tab6!G110/1000</f>
        <v>1842.4226925928908</v>
      </c>
      <c r="I42" s="56">
        <f>+J42-G42-H42</f>
        <v>145.77919564645799</v>
      </c>
      <c r="J42" s="56">
        <f>+E42-K42</f>
        <v>3861.6956733981374</v>
      </c>
      <c r="K42" s="56">
        <f>[1]tab01!D83/1000</f>
        <v>190.61</v>
      </c>
      <c r="L42" s="58">
        <v>10.1</v>
      </c>
      <c r="M42">
        <f t="shared" si="4"/>
        <v>47.706922559930852</v>
      </c>
      <c r="N42">
        <f t="shared" si="5"/>
        <v>46.91572366798038</v>
      </c>
    </row>
    <row r="43" spans="1:14" x14ac:dyDescent="0.2">
      <c r="A43" s="41">
        <v>2015</v>
      </c>
      <c r="B43" s="56">
        <f>+K42</f>
        <v>190.61</v>
      </c>
      <c r="C43" s="56">
        <f>+[1]tab02!E61/1000</f>
        <v>3926.3389999999999</v>
      </c>
      <c r="D43" s="56">
        <v>23.540639630852397</v>
      </c>
      <c r="E43" s="57">
        <f t="shared" si="0"/>
        <v>4140.4896396308523</v>
      </c>
      <c r="F43" s="56"/>
      <c r="G43" s="56">
        <f>[1]tab6!F129/1000</f>
        <v>1886.2368000000001</v>
      </c>
      <c r="H43" s="56">
        <f>[1]tab6!G129/1000</f>
        <v>1942.256289243398</v>
      </c>
      <c r="I43" s="56">
        <v>115</v>
      </c>
      <c r="J43" s="56">
        <f>+E43-K43</f>
        <v>3943.7606396308524</v>
      </c>
      <c r="K43" s="56">
        <f>[1]tab01!D88/1000</f>
        <v>196.72900000000001</v>
      </c>
      <c r="L43" s="58">
        <v>8.9499999999999993</v>
      </c>
      <c r="M43">
        <f t="shared" si="4"/>
        <v>48.040599652755404</v>
      </c>
      <c r="N43">
        <f t="shared" si="5"/>
        <v>49.467361051692123</v>
      </c>
    </row>
    <row r="44" spans="1:14" x14ac:dyDescent="0.2">
      <c r="A44" s="41">
        <v>2016</v>
      </c>
      <c r="B44" s="56">
        <f>+K43</f>
        <v>196.72900000000001</v>
      </c>
      <c r="C44" s="59">
        <f>+[1]tab02!E62/1000</f>
        <v>4296.0860000000002</v>
      </c>
      <c r="D44" s="59">
        <v>22.241776548522299</v>
      </c>
      <c r="E44" s="57">
        <f t="shared" si="0"/>
        <v>4515.056776548523</v>
      </c>
      <c r="F44" s="56"/>
      <c r="G44" s="59">
        <f>[1]tab6!F148/1000</f>
        <v>1901.1980666666666</v>
      </c>
      <c r="H44" s="59">
        <f>[1]tab6!G148/1000</f>
        <v>2173.6525417372668</v>
      </c>
      <c r="I44" s="56">
        <v>141</v>
      </c>
      <c r="J44" s="56">
        <f>+E44-K44</f>
        <v>4213.056776548523</v>
      </c>
      <c r="K44" s="56">
        <v>302</v>
      </c>
      <c r="L44" s="60">
        <v>9.4700000000000006</v>
      </c>
      <c r="M44">
        <f t="shared" si="4"/>
        <v>44.254190131823862</v>
      </c>
      <c r="N44">
        <f t="shared" si="5"/>
        <v>50.596113339846241</v>
      </c>
    </row>
    <row r="45" spans="1:14" x14ac:dyDescent="0.2">
      <c r="A45" s="45">
        <v>2017</v>
      </c>
      <c r="B45" s="61">
        <f>+K44</f>
        <v>302</v>
      </c>
      <c r="C45" s="61">
        <f>+[1]tab02!E63/1000</f>
        <v>4391.5529999999999</v>
      </c>
      <c r="D45" s="62">
        <v>25</v>
      </c>
      <c r="E45" s="61">
        <f>+B45+C45+D45</f>
        <v>4718.5529999999999</v>
      </c>
      <c r="F45" s="61"/>
      <c r="G45" s="62">
        <v>1960</v>
      </c>
      <c r="H45" s="62">
        <v>2065</v>
      </c>
      <c r="I45" s="61">
        <f>+J45-G45-H45</f>
        <v>138.55299999999988</v>
      </c>
      <c r="J45" s="61">
        <f>+E45-K45</f>
        <v>4163.5529999999999</v>
      </c>
      <c r="K45" s="62">
        <v>555</v>
      </c>
      <c r="L45" s="63" t="s">
        <v>127</v>
      </c>
      <c r="M45">
        <f t="shared" si="4"/>
        <v>44.631136183486795</v>
      </c>
      <c r="N45">
        <f t="shared" si="5"/>
        <v>47.022089907602165</v>
      </c>
    </row>
    <row r="46" spans="1:14" ht="13.15" customHeight="1" x14ac:dyDescent="0.2">
      <c r="A46" s="28" t="s">
        <v>128</v>
      </c>
      <c r="E46" s="56"/>
      <c r="G46" s="56"/>
      <c r="I46" s="64"/>
      <c r="J46" s="64"/>
    </row>
    <row r="47" spans="1:14" ht="13.15" customHeight="1" x14ac:dyDescent="0.2">
      <c r="A47" s="65" t="s">
        <v>129</v>
      </c>
    </row>
    <row r="48" spans="1:14" ht="13.15" customHeight="1" x14ac:dyDescent="0.2">
      <c r="A48" s="7" t="s">
        <v>130</v>
      </c>
    </row>
    <row r="49" spans="11:12" ht="10.15" customHeight="1" x14ac:dyDescent="0.2">
      <c r="K49" s="51"/>
      <c r="L49" s="51" t="s">
        <v>47</v>
      </c>
    </row>
  </sheetData>
  <pageMargins left="0.7" right="0.7" top="0.75" bottom="0.75" header="0.3" footer="0.3"/>
  <pageSetup scale="86" firstPageNumber="30" orientation="portrait" useFirstPageNumber="1" r:id="rId1"/>
  <headerFooter alignWithMargins="0">
    <oddFooter>&amp;C&amp;P
Oil Crops Yearbook/OCS-2018
March 2018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zoomScaleNormal="100" zoomScaleSheetLayoutView="100" workbookViewId="0">
      <pane ySplit="5" topLeftCell="A9" activePane="bottomLeft" state="frozen"/>
      <selection pane="bottomLeft"/>
    </sheetView>
  </sheetViews>
  <sheetFormatPr defaultRowHeight="11.25" x14ac:dyDescent="0.2"/>
  <cols>
    <col min="1" max="1" width="10.33203125" customWidth="1"/>
    <col min="2" max="5" width="13.6640625" customWidth="1"/>
    <col min="6" max="6" width="0.6640625" customWidth="1"/>
    <col min="7" max="11" width="13.6640625" customWidth="1"/>
    <col min="13" max="13" width="21" bestFit="1" customWidth="1"/>
  </cols>
  <sheetData>
    <row r="1" spans="1:13" x14ac:dyDescent="0.2">
      <c r="A1" s="32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3" x14ac:dyDescent="0.2">
      <c r="A2" t="s">
        <v>131</v>
      </c>
      <c r="B2" s="18"/>
      <c r="C2" s="66" t="s">
        <v>107</v>
      </c>
      <c r="D2" s="18"/>
      <c r="E2" s="18"/>
      <c r="G2" s="18"/>
      <c r="H2" s="18" t="s">
        <v>108</v>
      </c>
      <c r="I2" s="18"/>
      <c r="K2" s="34" t="s">
        <v>109</v>
      </c>
    </row>
    <row r="3" spans="1:13" x14ac:dyDescent="0.2">
      <c r="A3" t="s">
        <v>110</v>
      </c>
      <c r="B3" s="33" t="s">
        <v>111</v>
      </c>
      <c r="J3" s="33" t="s">
        <v>113</v>
      </c>
      <c r="K3" s="33" t="s">
        <v>132</v>
      </c>
    </row>
    <row r="4" spans="1:13" x14ac:dyDescent="0.2">
      <c r="A4" t="s">
        <v>133</v>
      </c>
      <c r="B4" s="37" t="s">
        <v>134</v>
      </c>
      <c r="C4" s="37" t="s">
        <v>135</v>
      </c>
      <c r="D4" s="37" t="s">
        <v>117</v>
      </c>
      <c r="E4" s="37" t="s">
        <v>21</v>
      </c>
      <c r="G4" s="37" t="s">
        <v>136</v>
      </c>
      <c r="H4" s="37" t="s">
        <v>120</v>
      </c>
      <c r="I4" s="67" t="s">
        <v>21</v>
      </c>
      <c r="J4" s="37" t="s">
        <v>134</v>
      </c>
      <c r="K4" s="33" t="s">
        <v>137</v>
      </c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34" t="s">
        <v>138</v>
      </c>
    </row>
    <row r="6" spans="1:13" x14ac:dyDescent="0.2">
      <c r="C6" s="54"/>
      <c r="D6" s="54"/>
      <c r="E6" s="68" t="s">
        <v>139</v>
      </c>
      <c r="F6" s="54"/>
      <c r="G6" s="54"/>
      <c r="H6" s="54"/>
      <c r="I6" s="54"/>
      <c r="J6" s="54"/>
      <c r="K6" s="33" t="s">
        <v>140</v>
      </c>
    </row>
    <row r="7" spans="1:13" x14ac:dyDescent="0.2">
      <c r="B7" s="55"/>
      <c r="C7" s="55"/>
      <c r="D7" s="55"/>
      <c r="E7" s="55"/>
      <c r="F7" s="55"/>
      <c r="G7" s="55"/>
      <c r="H7" s="55"/>
      <c r="I7" s="55"/>
      <c r="J7" s="55"/>
      <c r="K7" s="33"/>
    </row>
    <row r="8" spans="1:13" x14ac:dyDescent="0.2">
      <c r="A8" s="7">
        <v>1980</v>
      </c>
      <c r="B8" s="56">
        <v>226</v>
      </c>
      <c r="C8" s="56">
        <v>24312</v>
      </c>
      <c r="D8" s="56">
        <v>0</v>
      </c>
      <c r="E8" s="56">
        <f>+B8+C8+D8</f>
        <v>24538</v>
      </c>
      <c r="F8" s="56"/>
      <c r="G8" s="56">
        <f t="shared" ref="G8:G45" si="0">+I8-H8</f>
        <v>17591</v>
      </c>
      <c r="H8" s="56">
        <v>6784</v>
      </c>
      <c r="I8" s="56">
        <f t="shared" ref="I8:I45" si="1">+E8-J8</f>
        <v>24375</v>
      </c>
      <c r="J8" s="56">
        <v>163</v>
      </c>
      <c r="K8" s="58">
        <v>235.13</v>
      </c>
      <c r="L8" s="69"/>
      <c r="M8" s="69"/>
    </row>
    <row r="9" spans="1:13" x14ac:dyDescent="0.2">
      <c r="A9" s="7">
        <v>1981</v>
      </c>
      <c r="B9" s="56">
        <f t="shared" ref="B9:B39" si="2">+J8</f>
        <v>163</v>
      </c>
      <c r="C9" s="56">
        <v>24634</v>
      </c>
      <c r="D9" s="56">
        <v>0</v>
      </c>
      <c r="E9" s="56">
        <f t="shared" ref="E9:E42" si="3">+B9+C9+D9</f>
        <v>24797</v>
      </c>
      <c r="F9" s="56"/>
      <c r="G9" s="56">
        <f t="shared" si="0"/>
        <v>17714</v>
      </c>
      <c r="H9" s="56">
        <v>6908</v>
      </c>
      <c r="I9" s="56">
        <f t="shared" si="1"/>
        <v>24622</v>
      </c>
      <c r="J9" s="56">
        <v>175</v>
      </c>
      <c r="K9" s="58">
        <v>196.62</v>
      </c>
      <c r="L9" s="69"/>
      <c r="M9" s="69"/>
    </row>
    <row r="10" spans="1:13" x14ac:dyDescent="0.2">
      <c r="A10" s="7">
        <v>1982</v>
      </c>
      <c r="B10" s="56">
        <f t="shared" si="2"/>
        <v>175</v>
      </c>
      <c r="C10" s="56">
        <v>26714</v>
      </c>
      <c r="D10" s="56">
        <v>0</v>
      </c>
      <c r="E10" s="56">
        <f t="shared" si="3"/>
        <v>26889</v>
      </c>
      <c r="F10" s="56"/>
      <c r="G10" s="56">
        <f t="shared" si="0"/>
        <v>19306</v>
      </c>
      <c r="H10" s="56">
        <v>7109</v>
      </c>
      <c r="I10" s="56">
        <f t="shared" si="1"/>
        <v>26415</v>
      </c>
      <c r="J10" s="56">
        <v>474</v>
      </c>
      <c r="K10" s="58">
        <v>200.94</v>
      </c>
      <c r="L10" s="69"/>
      <c r="M10" s="69"/>
    </row>
    <row r="11" spans="1:13" x14ac:dyDescent="0.2">
      <c r="A11" s="7">
        <v>1983</v>
      </c>
      <c r="B11" s="56">
        <f t="shared" si="2"/>
        <v>474</v>
      </c>
      <c r="C11" s="56">
        <v>22756</v>
      </c>
      <c r="D11" s="56">
        <v>0</v>
      </c>
      <c r="E11" s="56">
        <f t="shared" si="3"/>
        <v>23230</v>
      </c>
      <c r="F11" s="56"/>
      <c r="G11" s="56">
        <f t="shared" si="0"/>
        <v>17615</v>
      </c>
      <c r="H11" s="56">
        <v>5360</v>
      </c>
      <c r="I11" s="56">
        <f t="shared" si="1"/>
        <v>22975</v>
      </c>
      <c r="J11" s="56">
        <v>255</v>
      </c>
      <c r="K11" s="58">
        <v>203.21</v>
      </c>
      <c r="L11" s="69"/>
      <c r="M11" s="69"/>
    </row>
    <row r="12" spans="1:13" x14ac:dyDescent="0.2">
      <c r="A12" s="7">
        <v>1984</v>
      </c>
      <c r="B12" s="56">
        <f t="shared" si="2"/>
        <v>255</v>
      </c>
      <c r="C12" s="56">
        <v>24529</v>
      </c>
      <c r="D12" s="56">
        <v>0</v>
      </c>
      <c r="E12" s="56">
        <f t="shared" si="3"/>
        <v>24784</v>
      </c>
      <c r="F12" s="56"/>
      <c r="G12" s="56">
        <f t="shared" si="0"/>
        <v>19518</v>
      </c>
      <c r="H12" s="56">
        <v>4879</v>
      </c>
      <c r="I12" s="56">
        <f t="shared" si="1"/>
        <v>24397</v>
      </c>
      <c r="J12" s="56">
        <v>387</v>
      </c>
      <c r="K12" s="58">
        <v>136.4</v>
      </c>
      <c r="L12" s="69"/>
      <c r="M12" s="69"/>
    </row>
    <row r="13" spans="1:13" x14ac:dyDescent="0.2">
      <c r="A13" s="7">
        <v>1985</v>
      </c>
      <c r="B13" s="56">
        <f t="shared" si="2"/>
        <v>387</v>
      </c>
      <c r="C13" s="56">
        <v>24951</v>
      </c>
      <c r="D13" s="56">
        <v>0</v>
      </c>
      <c r="E13" s="56">
        <f t="shared" si="3"/>
        <v>25338</v>
      </c>
      <c r="F13" s="56"/>
      <c r="G13" s="56">
        <f t="shared" si="0"/>
        <v>19090</v>
      </c>
      <c r="H13" s="56">
        <v>6036</v>
      </c>
      <c r="I13" s="56">
        <f t="shared" si="1"/>
        <v>25126</v>
      </c>
      <c r="J13" s="56">
        <v>212</v>
      </c>
      <c r="K13" s="58">
        <v>166.2</v>
      </c>
      <c r="L13" s="69"/>
      <c r="M13" s="69"/>
    </row>
    <row r="14" spans="1:13" x14ac:dyDescent="0.2">
      <c r="A14" s="7">
        <v>1986</v>
      </c>
      <c r="B14" s="56">
        <f t="shared" si="2"/>
        <v>212</v>
      </c>
      <c r="C14" s="56">
        <v>27758</v>
      </c>
      <c r="D14" s="56">
        <v>0</v>
      </c>
      <c r="E14" s="56">
        <f t="shared" si="3"/>
        <v>27970</v>
      </c>
      <c r="F14" s="56"/>
      <c r="G14" s="56">
        <f t="shared" si="0"/>
        <v>20435</v>
      </c>
      <c r="H14" s="56">
        <v>7295</v>
      </c>
      <c r="I14" s="56">
        <f t="shared" si="1"/>
        <v>27730</v>
      </c>
      <c r="J14" s="56">
        <v>240</v>
      </c>
      <c r="K14" s="58">
        <v>177.31</v>
      </c>
      <c r="L14" s="69"/>
      <c r="M14" s="69"/>
    </row>
    <row r="15" spans="1:13" x14ac:dyDescent="0.2">
      <c r="A15" s="7">
        <v>1987</v>
      </c>
      <c r="B15" s="56">
        <f t="shared" si="2"/>
        <v>240</v>
      </c>
      <c r="C15" s="56">
        <v>28060</v>
      </c>
      <c r="D15" s="56">
        <v>0</v>
      </c>
      <c r="E15" s="56">
        <f t="shared" si="3"/>
        <v>28300</v>
      </c>
      <c r="F15" s="56"/>
      <c r="G15" s="56">
        <f t="shared" si="0"/>
        <v>21323</v>
      </c>
      <c r="H15" s="56">
        <v>6824</v>
      </c>
      <c r="I15" s="56">
        <f t="shared" si="1"/>
        <v>28147</v>
      </c>
      <c r="J15" s="56">
        <v>153</v>
      </c>
      <c r="K15" s="58">
        <v>239.35</v>
      </c>
      <c r="L15" s="69"/>
      <c r="M15" s="69"/>
    </row>
    <row r="16" spans="1:13" x14ac:dyDescent="0.2">
      <c r="A16" s="7">
        <v>1988</v>
      </c>
      <c r="B16" s="56">
        <f t="shared" si="2"/>
        <v>153</v>
      </c>
      <c r="C16" s="56">
        <v>24943</v>
      </c>
      <c r="D16" s="56">
        <v>17</v>
      </c>
      <c r="E16" s="56">
        <f t="shared" si="3"/>
        <v>25113</v>
      </c>
      <c r="F16" s="56"/>
      <c r="G16" s="56">
        <f t="shared" si="0"/>
        <v>19497</v>
      </c>
      <c r="H16" s="56">
        <v>5443</v>
      </c>
      <c r="I16" s="56">
        <f t="shared" si="1"/>
        <v>24940</v>
      </c>
      <c r="J16" s="56">
        <v>173</v>
      </c>
      <c r="K16" s="58">
        <v>252.4</v>
      </c>
      <c r="L16" s="69"/>
      <c r="M16" s="69"/>
    </row>
    <row r="17" spans="1:13" x14ac:dyDescent="0.2">
      <c r="A17" s="7">
        <v>1989</v>
      </c>
      <c r="B17" s="56">
        <f t="shared" si="2"/>
        <v>173</v>
      </c>
      <c r="C17" s="56">
        <v>27718.7</v>
      </c>
      <c r="D17" s="56">
        <v>36.779331835638004</v>
      </c>
      <c r="E17" s="56">
        <f t="shared" si="3"/>
        <v>27928.479331835639</v>
      </c>
      <c r="F17" s="56"/>
      <c r="G17" s="56">
        <f t="shared" si="0"/>
        <v>22193.708355922441</v>
      </c>
      <c r="H17" s="56">
        <v>5416.4709759132002</v>
      </c>
      <c r="I17" s="56">
        <f t="shared" si="1"/>
        <v>27610.179331835639</v>
      </c>
      <c r="J17" s="56">
        <v>318.3</v>
      </c>
      <c r="K17" s="58">
        <v>186.48</v>
      </c>
      <c r="L17" s="69"/>
      <c r="M17" s="69"/>
    </row>
    <row r="18" spans="1:13" x14ac:dyDescent="0.2">
      <c r="A18" s="7">
        <v>1990</v>
      </c>
      <c r="B18" s="56">
        <f t="shared" si="2"/>
        <v>318.3</v>
      </c>
      <c r="C18" s="56">
        <v>28325.200000000001</v>
      </c>
      <c r="D18" s="56">
        <v>49.638329783028006</v>
      </c>
      <c r="E18" s="56">
        <f t="shared" si="3"/>
        <v>28693.138329783029</v>
      </c>
      <c r="F18" s="56"/>
      <c r="G18" s="56">
        <f t="shared" si="0"/>
        <v>22775.031716275229</v>
      </c>
      <c r="H18" s="56">
        <v>5633.1066135077999</v>
      </c>
      <c r="I18" s="56">
        <f t="shared" si="1"/>
        <v>28408.138329783029</v>
      </c>
      <c r="J18" s="56">
        <v>285</v>
      </c>
      <c r="K18" s="58">
        <v>181.38</v>
      </c>
      <c r="L18" s="69"/>
      <c r="M18" s="69"/>
    </row>
    <row r="19" spans="1:13" x14ac:dyDescent="0.2">
      <c r="A19" s="7">
        <v>1991</v>
      </c>
      <c r="B19" s="56">
        <f t="shared" si="2"/>
        <v>285</v>
      </c>
      <c r="C19" s="56">
        <v>29830.799999999999</v>
      </c>
      <c r="D19" s="56">
        <v>68.861405648573992</v>
      </c>
      <c r="E19" s="56">
        <f t="shared" si="3"/>
        <v>30184.661405648574</v>
      </c>
      <c r="F19" s="56"/>
      <c r="G19" s="56">
        <f t="shared" si="0"/>
        <v>22853.535142301371</v>
      </c>
      <c r="H19" s="56">
        <v>7101.1262633472015</v>
      </c>
      <c r="I19" s="56">
        <f t="shared" si="1"/>
        <v>29954.661405648574</v>
      </c>
      <c r="J19" s="56">
        <v>230</v>
      </c>
      <c r="K19" s="58">
        <v>189.21</v>
      </c>
      <c r="L19" s="69"/>
      <c r="M19" s="69"/>
    </row>
    <row r="20" spans="1:13" x14ac:dyDescent="0.2">
      <c r="A20" s="7">
        <v>1992</v>
      </c>
      <c r="B20" s="56">
        <f t="shared" si="2"/>
        <v>230</v>
      </c>
      <c r="C20" s="56">
        <v>30364.194000000003</v>
      </c>
      <c r="D20" s="56">
        <v>94.648846034043018</v>
      </c>
      <c r="E20" s="56">
        <f t="shared" si="3"/>
        <v>30688.842846034047</v>
      </c>
      <c r="F20" s="56"/>
      <c r="G20" s="56">
        <f t="shared" si="0"/>
        <v>24086.211071734746</v>
      </c>
      <c r="H20" s="56">
        <v>6398.1947742992998</v>
      </c>
      <c r="I20" s="56">
        <f t="shared" si="1"/>
        <v>30484.405846034046</v>
      </c>
      <c r="J20" s="56">
        <v>204.43700000000001</v>
      </c>
      <c r="K20" s="58">
        <v>193.75</v>
      </c>
      <c r="L20" s="69"/>
      <c r="M20" s="69"/>
    </row>
    <row r="21" spans="1:13" x14ac:dyDescent="0.2">
      <c r="A21" s="7">
        <v>1993</v>
      </c>
      <c r="B21" s="56">
        <f t="shared" si="2"/>
        <v>204.43700000000001</v>
      </c>
      <c r="C21" s="56">
        <v>30514.129000000001</v>
      </c>
      <c r="D21" s="56">
        <v>74.635889379849004</v>
      </c>
      <c r="E21" s="56">
        <f t="shared" si="3"/>
        <v>30793.201889379852</v>
      </c>
      <c r="F21" s="56"/>
      <c r="G21" s="56">
        <f t="shared" si="0"/>
        <v>25162.650019629851</v>
      </c>
      <c r="H21" s="56">
        <v>5480.9658697500008</v>
      </c>
      <c r="I21" s="56">
        <f t="shared" si="1"/>
        <v>30643.615889379853</v>
      </c>
      <c r="J21" s="56">
        <v>149.58600000000001</v>
      </c>
      <c r="K21" s="58">
        <v>192.86</v>
      </c>
      <c r="L21" s="69"/>
      <c r="M21" s="69"/>
    </row>
    <row r="22" spans="1:13" x14ac:dyDescent="0.2">
      <c r="A22" s="7">
        <v>1994</v>
      </c>
      <c r="B22" s="56">
        <f t="shared" si="2"/>
        <v>149.58600000000001</v>
      </c>
      <c r="C22" s="56">
        <v>33269.410000000003</v>
      </c>
      <c r="D22" s="56">
        <v>70.64862656531399</v>
      </c>
      <c r="E22" s="56">
        <f t="shared" si="3"/>
        <v>33489.644626565321</v>
      </c>
      <c r="F22" s="56"/>
      <c r="G22" s="56">
        <f t="shared" si="0"/>
        <v>26426.930730003318</v>
      </c>
      <c r="H22" s="56">
        <v>6839.3348965620016</v>
      </c>
      <c r="I22" s="56">
        <f t="shared" si="1"/>
        <v>33266.26562656532</v>
      </c>
      <c r="J22" s="56">
        <v>223.37900000000002</v>
      </c>
      <c r="K22" s="58">
        <v>162.6</v>
      </c>
      <c r="L22" s="69"/>
      <c r="M22" s="69"/>
    </row>
    <row r="23" spans="1:13" x14ac:dyDescent="0.2">
      <c r="A23" s="7">
        <v>1995</v>
      </c>
      <c r="B23" s="56">
        <f t="shared" si="2"/>
        <v>223.37900000000002</v>
      </c>
      <c r="C23" s="56">
        <v>32527.040000000001</v>
      </c>
      <c r="D23" s="56">
        <v>99.704516069150984</v>
      </c>
      <c r="E23" s="56">
        <f t="shared" si="3"/>
        <v>32850.12351606915</v>
      </c>
      <c r="F23" s="56"/>
      <c r="G23" s="56">
        <f t="shared" si="0"/>
        <v>26548.748873658253</v>
      </c>
      <c r="H23" s="56">
        <v>6088.9696424108997</v>
      </c>
      <c r="I23" s="56">
        <f t="shared" si="1"/>
        <v>32637.718516069152</v>
      </c>
      <c r="J23" s="56">
        <v>212.405</v>
      </c>
      <c r="K23" s="58">
        <v>235.9</v>
      </c>
      <c r="L23" s="69"/>
      <c r="M23" s="69"/>
    </row>
    <row r="24" spans="1:13" x14ac:dyDescent="0.2">
      <c r="A24" s="7">
        <v>1996</v>
      </c>
      <c r="B24" s="56">
        <f t="shared" si="2"/>
        <v>212.405</v>
      </c>
      <c r="C24" s="56">
        <v>34211.215000000004</v>
      </c>
      <c r="D24" s="56">
        <v>119.20565208906899</v>
      </c>
      <c r="E24" s="56">
        <f t="shared" si="3"/>
        <v>34542.825652089072</v>
      </c>
      <c r="F24" s="56"/>
      <c r="G24" s="56">
        <f t="shared" si="0"/>
        <v>27222.094393573771</v>
      </c>
      <c r="H24" s="56">
        <v>7111.2312585153013</v>
      </c>
      <c r="I24" s="56">
        <f t="shared" si="1"/>
        <v>34333.325652089072</v>
      </c>
      <c r="J24" s="56">
        <v>209.5</v>
      </c>
      <c r="K24" s="58">
        <v>270.89999999999998</v>
      </c>
      <c r="L24" s="69"/>
      <c r="M24" s="69"/>
    </row>
    <row r="25" spans="1:13" x14ac:dyDescent="0.2">
      <c r="A25" s="7">
        <v>1997</v>
      </c>
      <c r="B25" s="56">
        <f t="shared" si="2"/>
        <v>209.5</v>
      </c>
      <c r="C25" s="56">
        <v>38176.416000000005</v>
      </c>
      <c r="D25" s="56">
        <v>66.181418643689994</v>
      </c>
      <c r="E25" s="56">
        <f t="shared" si="3"/>
        <v>38452.097418643694</v>
      </c>
      <c r="F25" s="56"/>
      <c r="G25" s="56">
        <f t="shared" si="0"/>
        <v>28619.357623617791</v>
      </c>
      <c r="H25" s="56">
        <v>9614.672795025901</v>
      </c>
      <c r="I25" s="56">
        <f t="shared" si="1"/>
        <v>38234.030418643692</v>
      </c>
      <c r="J25" s="56">
        <v>218.06700000000001</v>
      </c>
      <c r="K25" s="58">
        <v>185.3</v>
      </c>
      <c r="L25" s="69"/>
      <c r="M25" s="69"/>
    </row>
    <row r="26" spans="1:13" x14ac:dyDescent="0.2">
      <c r="A26" s="7">
        <v>1998</v>
      </c>
      <c r="B26" s="56">
        <f t="shared" si="2"/>
        <v>218.06700000000001</v>
      </c>
      <c r="C26" s="56">
        <v>37796.553</v>
      </c>
      <c r="D26" s="56">
        <v>111.73103331698699</v>
      </c>
      <c r="E26" s="56">
        <f t="shared" si="3"/>
        <v>38126.351033316991</v>
      </c>
      <c r="F26" s="56"/>
      <c r="G26" s="56">
        <f t="shared" si="0"/>
        <v>30102.743509943888</v>
      </c>
      <c r="H26" s="56">
        <v>7693.3835233730997</v>
      </c>
      <c r="I26" s="56">
        <f t="shared" si="1"/>
        <v>37796.127033316989</v>
      </c>
      <c r="J26" s="56">
        <v>330.22399999999999</v>
      </c>
      <c r="K26" s="58">
        <v>138.55000000000001</v>
      </c>
      <c r="L26" s="69"/>
      <c r="M26" s="69"/>
    </row>
    <row r="27" spans="1:13" x14ac:dyDescent="0.2">
      <c r="A27" s="7">
        <v>1999</v>
      </c>
      <c r="B27" s="56">
        <f t="shared" si="2"/>
        <v>330.22399999999999</v>
      </c>
      <c r="C27" s="56">
        <v>37591.152999999998</v>
      </c>
      <c r="D27" s="56">
        <v>71.143200441684016</v>
      </c>
      <c r="E27" s="56">
        <f t="shared" si="3"/>
        <v>37992.520200441686</v>
      </c>
      <c r="F27" s="56"/>
      <c r="G27" s="56">
        <f t="shared" si="0"/>
        <v>30080.358195430188</v>
      </c>
      <c r="H27" s="56">
        <v>7619.2800050115002</v>
      </c>
      <c r="I27" s="56">
        <f t="shared" si="1"/>
        <v>37699.638200441688</v>
      </c>
      <c r="J27" s="56">
        <v>292.88200000000001</v>
      </c>
      <c r="K27" s="58">
        <v>167.7</v>
      </c>
      <c r="L27" s="69"/>
      <c r="M27" s="69"/>
    </row>
    <row r="28" spans="1:13" x14ac:dyDescent="0.2">
      <c r="A28" s="7">
        <v>2000</v>
      </c>
      <c r="B28" s="57">
        <f t="shared" si="2"/>
        <v>292.88200000000001</v>
      </c>
      <c r="C28" s="57">
        <v>39385.067000000003</v>
      </c>
      <c r="D28" s="57">
        <v>54.861085914894005</v>
      </c>
      <c r="E28" s="56">
        <f t="shared" si="3"/>
        <v>39732.810085914898</v>
      </c>
      <c r="F28" s="57"/>
      <c r="G28" s="57">
        <f t="shared" si="0"/>
        <v>31264.490589662797</v>
      </c>
      <c r="H28" s="57">
        <v>8085.0224962521006</v>
      </c>
      <c r="I28" s="57">
        <f t="shared" si="1"/>
        <v>39349.513085914899</v>
      </c>
      <c r="J28" s="57">
        <v>383.29700000000003</v>
      </c>
      <c r="K28" s="70">
        <v>173.61</v>
      </c>
      <c r="L28" s="69"/>
      <c r="M28" s="69"/>
    </row>
    <row r="29" spans="1:13" x14ac:dyDescent="0.2">
      <c r="A29" s="41">
        <v>2001</v>
      </c>
      <c r="B29" s="57">
        <f t="shared" si="2"/>
        <v>383.29700000000003</v>
      </c>
      <c r="C29" s="57">
        <v>40291.832000000002</v>
      </c>
      <c r="D29" s="57">
        <v>147.58826105721602</v>
      </c>
      <c r="E29" s="56">
        <f t="shared" si="3"/>
        <v>40822.717261057216</v>
      </c>
      <c r="F29" s="57"/>
      <c r="G29" s="57">
        <f t="shared" si="0"/>
        <v>32567.438195617819</v>
      </c>
      <c r="H29" s="57">
        <v>8015.3060654394003</v>
      </c>
      <c r="I29" s="57">
        <f t="shared" si="1"/>
        <v>40582.744261057218</v>
      </c>
      <c r="J29" s="57">
        <v>239.97300000000001</v>
      </c>
      <c r="K29" s="70">
        <v>167.72</v>
      </c>
      <c r="L29" s="69"/>
      <c r="M29" s="69"/>
    </row>
    <row r="30" spans="1:13" x14ac:dyDescent="0.2">
      <c r="A30" s="41">
        <v>2002</v>
      </c>
      <c r="B30" s="57">
        <f t="shared" si="2"/>
        <v>239.97300000000001</v>
      </c>
      <c r="C30" s="57">
        <v>38194.363999999994</v>
      </c>
      <c r="D30" s="57">
        <v>173.14371127424704</v>
      </c>
      <c r="E30" s="56">
        <f t="shared" si="3"/>
        <v>38607.480711274242</v>
      </c>
      <c r="F30" s="57"/>
      <c r="G30" s="57">
        <f t="shared" si="0"/>
        <v>32073.560882858641</v>
      </c>
      <c r="H30" s="57">
        <v>6313.9708284155995</v>
      </c>
      <c r="I30" s="57">
        <f t="shared" si="1"/>
        <v>38387.531711274241</v>
      </c>
      <c r="J30" s="57">
        <v>219.94899999999998</v>
      </c>
      <c r="K30" s="70">
        <v>181.58</v>
      </c>
      <c r="L30" s="69"/>
      <c r="M30" s="69"/>
    </row>
    <row r="31" spans="1:13" x14ac:dyDescent="0.2">
      <c r="A31" s="41">
        <v>2003</v>
      </c>
      <c r="B31" s="57">
        <f t="shared" si="2"/>
        <v>219.94899999999998</v>
      </c>
      <c r="C31" s="57">
        <v>36324.455000000002</v>
      </c>
      <c r="D31" s="57">
        <v>285.230620186029</v>
      </c>
      <c r="E31" s="56">
        <f t="shared" si="3"/>
        <v>36829.634620186029</v>
      </c>
      <c r="F31" s="57"/>
      <c r="G31" s="57">
        <f t="shared" si="0"/>
        <v>31449.478319528032</v>
      </c>
      <c r="H31" s="57">
        <v>5169.4193006579972</v>
      </c>
      <c r="I31" s="57">
        <f t="shared" si="1"/>
        <v>36618.897620186028</v>
      </c>
      <c r="J31" s="57">
        <v>210.73700000000002</v>
      </c>
      <c r="K31" s="70">
        <v>256.05</v>
      </c>
      <c r="L31" s="69"/>
      <c r="M31" s="69"/>
    </row>
    <row r="32" spans="1:13" x14ac:dyDescent="0.2">
      <c r="A32" s="41">
        <v>2004</v>
      </c>
      <c r="B32" s="57">
        <f t="shared" si="2"/>
        <v>210.73700000000002</v>
      </c>
      <c r="C32" s="57">
        <v>40715.440999999999</v>
      </c>
      <c r="D32" s="57">
        <v>147.16075398670802</v>
      </c>
      <c r="E32" s="56">
        <f t="shared" si="3"/>
        <v>41073.338753986711</v>
      </c>
      <c r="F32" s="57"/>
      <c r="G32" s="57">
        <f t="shared" si="0"/>
        <v>33561.139775323005</v>
      </c>
      <c r="H32" s="57">
        <v>7340.4029786637057</v>
      </c>
      <c r="I32" s="57">
        <f t="shared" si="1"/>
        <v>40901.542753986709</v>
      </c>
      <c r="J32" s="57">
        <v>171.79599999999999</v>
      </c>
      <c r="K32" s="70">
        <v>182.9</v>
      </c>
      <c r="L32" s="69"/>
      <c r="M32" s="69"/>
    </row>
    <row r="33" spans="1:11" x14ac:dyDescent="0.2">
      <c r="A33" s="41">
        <v>2005</v>
      </c>
      <c r="B33" s="57">
        <f t="shared" si="2"/>
        <v>171.79599999999999</v>
      </c>
      <c r="C33" s="57">
        <v>41243.914000000004</v>
      </c>
      <c r="D33" s="57">
        <v>140.796088536789</v>
      </c>
      <c r="E33" s="56">
        <f t="shared" si="3"/>
        <v>41556.506088536793</v>
      </c>
      <c r="F33" s="57"/>
      <c r="G33" s="57">
        <f t="shared" si="0"/>
        <v>33194.939385345788</v>
      </c>
      <c r="H33" s="57">
        <v>8047.8017031910049</v>
      </c>
      <c r="I33" s="57">
        <f t="shared" si="1"/>
        <v>41242.741088536794</v>
      </c>
      <c r="J33" s="57">
        <v>313.76499999999999</v>
      </c>
      <c r="K33" s="70">
        <v>174.17</v>
      </c>
    </row>
    <row r="34" spans="1:11" x14ac:dyDescent="0.2">
      <c r="A34" s="41">
        <v>2006</v>
      </c>
      <c r="B34" s="57">
        <f t="shared" si="2"/>
        <v>313.76499999999999</v>
      </c>
      <c r="C34" s="57">
        <v>43031.546570000006</v>
      </c>
      <c r="D34" s="57">
        <v>156.36249016825502</v>
      </c>
      <c r="E34" s="56">
        <f t="shared" si="3"/>
        <v>43501.674060168261</v>
      </c>
      <c r="F34" s="57"/>
      <c r="G34" s="57">
        <f t="shared" si="0"/>
        <v>34354.753536586861</v>
      </c>
      <c r="H34" s="57">
        <v>8803.9515235814033</v>
      </c>
      <c r="I34" s="57">
        <f t="shared" si="1"/>
        <v>43158.705060168264</v>
      </c>
      <c r="J34" s="57">
        <v>342.96899999999999</v>
      </c>
      <c r="K34" s="70">
        <v>205.44</v>
      </c>
    </row>
    <row r="35" spans="1:11" x14ac:dyDescent="0.2">
      <c r="A35" s="41">
        <v>2007</v>
      </c>
      <c r="B35" s="57">
        <f t="shared" si="2"/>
        <v>342.96899999999999</v>
      </c>
      <c r="C35" s="57">
        <f>[1]tab7!C20</f>
        <v>42284.076460000004</v>
      </c>
      <c r="D35" s="57">
        <f>[1]tab7!D20</f>
        <v>140.62193001265501</v>
      </c>
      <c r="E35" s="56">
        <f t="shared" si="3"/>
        <v>42767.667390012655</v>
      </c>
      <c r="F35" s="57"/>
      <c r="G35" s="57">
        <f t="shared" si="0"/>
        <v>33231.85553778601</v>
      </c>
      <c r="H35" s="57">
        <f>[1]tab7!H20</f>
        <v>9241.9678522266495</v>
      </c>
      <c r="I35" s="57">
        <f t="shared" si="1"/>
        <v>42473.823390012658</v>
      </c>
      <c r="J35" s="57">
        <f>[1]tab7!J19</f>
        <v>293.84400000000005</v>
      </c>
      <c r="K35" s="70">
        <v>335.94</v>
      </c>
    </row>
    <row r="36" spans="1:11" x14ac:dyDescent="0.2">
      <c r="A36" s="41">
        <v>2008</v>
      </c>
      <c r="B36" s="57">
        <f t="shared" si="2"/>
        <v>293.84400000000005</v>
      </c>
      <c r="C36" s="57">
        <v>39102.433099999995</v>
      </c>
      <c r="D36" s="57">
        <v>87.724852550370031</v>
      </c>
      <c r="E36" s="56">
        <f t="shared" si="3"/>
        <v>39484.001952550359</v>
      </c>
      <c r="F36" s="57"/>
      <c r="G36" s="57">
        <f t="shared" si="0"/>
        <v>30752.203793197361</v>
      </c>
      <c r="H36" s="57">
        <f>[1]tab7!H34</f>
        <v>8497.0671593529969</v>
      </c>
      <c r="I36" s="57">
        <f t="shared" si="1"/>
        <v>39249.27095255036</v>
      </c>
      <c r="J36" s="57">
        <f>[1]tab7!J33</f>
        <v>234.73099999999999</v>
      </c>
      <c r="K36" s="70">
        <v>331.17</v>
      </c>
    </row>
    <row r="37" spans="1:11" x14ac:dyDescent="0.2">
      <c r="A37" s="41">
        <v>2009</v>
      </c>
      <c r="B37" s="57">
        <f t="shared" si="2"/>
        <v>234.73099999999999</v>
      </c>
      <c r="C37" s="57">
        <v>41706.522250000002</v>
      </c>
      <c r="D37" s="57">
        <v>160.003937078181</v>
      </c>
      <c r="E37" s="56">
        <f t="shared" si="3"/>
        <v>42101.257187078183</v>
      </c>
      <c r="F37" s="57"/>
      <c r="G37" s="57">
        <f t="shared" si="0"/>
        <v>30640.234987746197</v>
      </c>
      <c r="H37" s="57">
        <f>[1]tab7!H48</f>
        <v>11159.468199331988</v>
      </c>
      <c r="I37" s="57">
        <f t="shared" si="1"/>
        <v>41799.703187078187</v>
      </c>
      <c r="J37" s="57">
        <f>[1]tab7!J47</f>
        <v>301.55399999999997</v>
      </c>
      <c r="K37" s="70">
        <v>311.27</v>
      </c>
    </row>
    <row r="38" spans="1:11" x14ac:dyDescent="0.2">
      <c r="A38" s="41">
        <v>2010</v>
      </c>
      <c r="B38" s="57">
        <f t="shared" si="2"/>
        <v>301.55399999999997</v>
      </c>
      <c r="C38" s="57">
        <v>39250.930509999998</v>
      </c>
      <c r="D38" s="57">
        <v>179.6542058556</v>
      </c>
      <c r="E38" s="56">
        <f t="shared" si="3"/>
        <v>39732.138715855595</v>
      </c>
      <c r="F38" s="57"/>
      <c r="G38" s="57">
        <f t="shared" si="0"/>
        <v>30301.193532282487</v>
      </c>
      <c r="H38" s="57">
        <v>9080.9451835731088</v>
      </c>
      <c r="I38" s="57">
        <f t="shared" si="1"/>
        <v>39382.138715855595</v>
      </c>
      <c r="J38" s="57">
        <f>[1]tab7!J61</f>
        <v>350</v>
      </c>
      <c r="K38" s="70">
        <v>345.52</v>
      </c>
    </row>
    <row r="39" spans="1:11" x14ac:dyDescent="0.2">
      <c r="A39" s="41">
        <v>2011</v>
      </c>
      <c r="B39" s="57">
        <f t="shared" si="2"/>
        <v>350</v>
      </c>
      <c r="C39" s="57">
        <v>41035.722435549993</v>
      </c>
      <c r="D39" s="57">
        <v>215.849014134957</v>
      </c>
      <c r="E39" s="56">
        <f t="shared" si="3"/>
        <v>41601.571449684947</v>
      </c>
      <c r="F39" s="57"/>
      <c r="G39" s="57">
        <f t="shared" si="0"/>
        <v>31551.853705135592</v>
      </c>
      <c r="H39" s="57">
        <v>9749.6833304243519</v>
      </c>
      <c r="I39" s="57">
        <f t="shared" si="1"/>
        <v>41301.537035559944</v>
      </c>
      <c r="J39" s="57">
        <v>300.03441412499996</v>
      </c>
      <c r="K39" s="70">
        <v>395.53</v>
      </c>
    </row>
    <row r="40" spans="1:11" x14ac:dyDescent="0.2">
      <c r="A40" s="41">
        <v>2012</v>
      </c>
      <c r="B40" s="57">
        <f>+J39</f>
        <v>300.03441412499996</v>
      </c>
      <c r="C40" s="57">
        <v>39875.164675500004</v>
      </c>
      <c r="D40" s="57">
        <v>244.78521801734703</v>
      </c>
      <c r="E40" s="56">
        <f t="shared" si="3"/>
        <v>40419.984307642357</v>
      </c>
      <c r="F40" s="57"/>
      <c r="G40" s="57">
        <f t="shared" si="0"/>
        <v>28999.028080074357</v>
      </c>
      <c r="H40" s="57">
        <v>11146</v>
      </c>
      <c r="I40" s="57">
        <f t="shared" si="1"/>
        <v>40145.028080074357</v>
      </c>
      <c r="J40" s="57">
        <v>274.95622756800003</v>
      </c>
      <c r="K40" s="70">
        <v>468.11</v>
      </c>
    </row>
    <row r="41" spans="1:11" x14ac:dyDescent="0.2">
      <c r="A41" s="41">
        <v>2013</v>
      </c>
      <c r="B41" s="57">
        <f>J40</f>
        <v>274.95622756800003</v>
      </c>
      <c r="C41" s="57">
        <v>40684.650893000005</v>
      </c>
      <c r="D41" s="57">
        <v>382.64782108858202</v>
      </c>
      <c r="E41" s="56">
        <f t="shared" si="3"/>
        <v>41342.254941656589</v>
      </c>
      <c r="F41" s="57"/>
      <c r="G41" s="57">
        <f t="shared" si="0"/>
        <v>29514.121747508303</v>
      </c>
      <c r="H41" s="57">
        <v>11578.133194148284</v>
      </c>
      <c r="I41" s="57">
        <f t="shared" si="1"/>
        <v>41092.254941656589</v>
      </c>
      <c r="J41" s="57">
        <v>250</v>
      </c>
      <c r="K41" s="70">
        <v>489.94</v>
      </c>
    </row>
    <row r="42" spans="1:11" x14ac:dyDescent="0.2">
      <c r="A42" s="41">
        <v>2014</v>
      </c>
      <c r="B42" s="57">
        <f>J41</f>
        <v>250</v>
      </c>
      <c r="C42" s="64">
        <v>45062</v>
      </c>
      <c r="D42" s="64">
        <v>332.95030271640906</v>
      </c>
      <c r="E42" s="56">
        <f t="shared" si="3"/>
        <v>45644.95030271641</v>
      </c>
      <c r="F42" s="57"/>
      <c r="G42" s="57">
        <f t="shared" si="0"/>
        <v>32277.093526243123</v>
      </c>
      <c r="H42" s="64">
        <v>13107.392776473285</v>
      </c>
      <c r="I42" s="57">
        <f t="shared" si="1"/>
        <v>45384.48630271641</v>
      </c>
      <c r="J42" s="64">
        <v>260.464</v>
      </c>
      <c r="K42" s="71">
        <v>368.49</v>
      </c>
    </row>
    <row r="43" spans="1:11" x14ac:dyDescent="0.2">
      <c r="A43" s="41">
        <v>2015</v>
      </c>
      <c r="B43" s="57">
        <f>J42</f>
        <v>260.464</v>
      </c>
      <c r="C43" s="64">
        <f>[1]tab7!C76</f>
        <v>44671.661999999989</v>
      </c>
      <c r="D43" s="64">
        <f>[1]tab7!D76</f>
        <v>403.42275683539208</v>
      </c>
      <c r="E43" s="56">
        <f>+B43+C43+D43</f>
        <v>45335.548756835378</v>
      </c>
      <c r="F43" s="57"/>
      <c r="G43" s="57">
        <f t="shared" si="0"/>
        <v>33117.813108550698</v>
      </c>
      <c r="H43" s="64">
        <f>[1]tab7!H76</f>
        <v>11953.849648284682</v>
      </c>
      <c r="I43" s="57">
        <f t="shared" si="1"/>
        <v>45071.66275683538</v>
      </c>
      <c r="J43" s="64">
        <f>[1]tab7!J75</f>
        <v>263.88600000000002</v>
      </c>
      <c r="K43" s="71">
        <v>324.56</v>
      </c>
    </row>
    <row r="44" spans="1:11" x14ac:dyDescent="0.2">
      <c r="A44" s="41">
        <v>2016</v>
      </c>
      <c r="B44" s="57">
        <f>J43</f>
        <v>263.88600000000002</v>
      </c>
      <c r="C44" s="64">
        <f>[1]tab7!C90</f>
        <v>44787.017</v>
      </c>
      <c r="D44" s="64">
        <f>[1]tab7!D90</f>
        <v>349.49540109002407</v>
      </c>
      <c r="E44" s="56">
        <f>+B44+C44+D44</f>
        <v>45400.398401090024</v>
      </c>
      <c r="F44" s="57"/>
      <c r="G44" s="57">
        <f t="shared" si="0"/>
        <v>33398.855525847233</v>
      </c>
      <c r="H44" s="64">
        <f>[1]tab7!H90</f>
        <v>11600.912875242791</v>
      </c>
      <c r="I44" s="57">
        <f t="shared" si="1"/>
        <v>44999.768401090027</v>
      </c>
      <c r="J44" s="64">
        <f>[1]tab7!J89</f>
        <v>400.63</v>
      </c>
      <c r="K44" s="71">
        <v>316.88</v>
      </c>
    </row>
    <row r="45" spans="1:11" x14ac:dyDescent="0.2">
      <c r="A45" s="45" t="s">
        <v>141</v>
      </c>
      <c r="B45" s="61">
        <f>J44</f>
        <v>400.63</v>
      </c>
      <c r="C45" s="62">
        <v>46299</v>
      </c>
      <c r="D45" s="62">
        <v>300</v>
      </c>
      <c r="E45" s="61">
        <f>+B45+C45+D45</f>
        <v>46999.63</v>
      </c>
      <c r="F45" s="61"/>
      <c r="G45" s="61">
        <f t="shared" si="0"/>
        <v>34299.629999999997</v>
      </c>
      <c r="H45" s="62">
        <v>12400</v>
      </c>
      <c r="I45" s="61">
        <f t="shared" si="1"/>
        <v>46699.63</v>
      </c>
      <c r="J45" s="62">
        <v>300</v>
      </c>
      <c r="K45" s="63" t="s">
        <v>142</v>
      </c>
    </row>
    <row r="46" spans="1:11" ht="13.15" customHeight="1" x14ac:dyDescent="0.2">
      <c r="A46" s="28" t="s">
        <v>143</v>
      </c>
    </row>
    <row r="47" spans="1:11" ht="13.15" customHeight="1" x14ac:dyDescent="0.2">
      <c r="A47" s="28" t="s">
        <v>144</v>
      </c>
    </row>
    <row r="48" spans="1:11" ht="13.15" customHeight="1" x14ac:dyDescent="0.2">
      <c r="A48" s="50" t="s">
        <v>145</v>
      </c>
    </row>
    <row r="49" spans="11:11" x14ac:dyDescent="0.2">
      <c r="K49" s="51" t="s">
        <v>47</v>
      </c>
    </row>
  </sheetData>
  <pageMargins left="0.7" right="0.7" top="0.75" bottom="0.75" header="0.3" footer="0.3"/>
  <pageSetup scale="80" firstPageNumber="3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zoomScaleNormal="100" zoomScaleSheetLayoutView="90" workbookViewId="0">
      <pane ySplit="5" topLeftCell="A6" activePane="bottomLeft" state="frozen"/>
      <selection pane="bottomLeft"/>
    </sheetView>
  </sheetViews>
  <sheetFormatPr defaultRowHeight="11.25" x14ac:dyDescent="0.2"/>
  <cols>
    <col min="1" max="1" width="9.6640625" customWidth="1"/>
    <col min="2" max="5" width="12.6640625" customWidth="1"/>
    <col min="6" max="6" width="2.6640625" customWidth="1"/>
    <col min="7" max="12" width="12.6640625" customWidth="1"/>
  </cols>
  <sheetData>
    <row r="1" spans="1:12" x14ac:dyDescent="0.2">
      <c r="A1" s="32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">
      <c r="A2" t="s">
        <v>131</v>
      </c>
      <c r="B2" s="18"/>
      <c r="C2" s="52" t="s">
        <v>107</v>
      </c>
      <c r="D2" s="18"/>
      <c r="E2" s="18"/>
      <c r="F2" s="72"/>
      <c r="G2" s="18"/>
      <c r="H2" s="73" t="s">
        <v>108</v>
      </c>
      <c r="I2" s="18"/>
      <c r="J2" s="18"/>
      <c r="L2" s="34" t="s">
        <v>109</v>
      </c>
    </row>
    <row r="3" spans="1:12" x14ac:dyDescent="0.2">
      <c r="A3" t="s">
        <v>110</v>
      </c>
      <c r="B3" s="33" t="s">
        <v>111</v>
      </c>
      <c r="G3" s="52" t="s">
        <v>136</v>
      </c>
      <c r="H3" s="74"/>
      <c r="K3" s="33" t="s">
        <v>113</v>
      </c>
      <c r="L3" s="33" t="s">
        <v>146</v>
      </c>
    </row>
    <row r="4" spans="1:12" x14ac:dyDescent="0.2">
      <c r="A4" s="16" t="s">
        <v>133</v>
      </c>
      <c r="B4" s="34" t="s">
        <v>116</v>
      </c>
      <c r="C4" s="34" t="s">
        <v>52</v>
      </c>
      <c r="D4" s="75" t="s">
        <v>117</v>
      </c>
      <c r="E4" s="34" t="s">
        <v>21</v>
      </c>
      <c r="F4" s="34"/>
      <c r="G4" s="76" t="s">
        <v>21</v>
      </c>
      <c r="H4" s="34" t="s">
        <v>147</v>
      </c>
      <c r="I4" s="34" t="s">
        <v>120</v>
      </c>
      <c r="J4" s="34" t="s">
        <v>21</v>
      </c>
      <c r="K4" s="34" t="s">
        <v>116</v>
      </c>
      <c r="L4" s="34" t="s">
        <v>137</v>
      </c>
    </row>
    <row r="5" spans="1:12" x14ac:dyDescent="0.2">
      <c r="G5" s="55" t="s">
        <v>148</v>
      </c>
      <c r="L5" s="37" t="s">
        <v>149</v>
      </c>
    </row>
    <row r="6" spans="1:12" x14ac:dyDescent="0.2">
      <c r="L6" s="55"/>
    </row>
    <row r="7" spans="1:12" x14ac:dyDescent="0.2">
      <c r="A7" s="7">
        <v>1980</v>
      </c>
      <c r="B7" s="56">
        <v>1210</v>
      </c>
      <c r="C7" s="56">
        <v>11270.18</v>
      </c>
      <c r="D7" s="56">
        <v>0.01</v>
      </c>
      <c r="E7" s="56">
        <f t="shared" ref="E7:E42" si="0">+B7+C7+D7</f>
        <v>12480.19</v>
      </c>
      <c r="F7" s="56"/>
      <c r="G7" s="56">
        <f t="shared" ref="G7:G40" si="1">+J7-I7</f>
        <v>9113.0720000000001</v>
      </c>
      <c r="H7" s="77" t="s">
        <v>150</v>
      </c>
      <c r="I7" s="56">
        <v>1631</v>
      </c>
      <c r="J7" s="56">
        <f t="shared" ref="J7:J38" si="2">+E7-K7</f>
        <v>10744.072</v>
      </c>
      <c r="K7" s="56">
        <v>1736.1179999999999</v>
      </c>
      <c r="L7" s="58">
        <v>22.73</v>
      </c>
    </row>
    <row r="8" spans="1:12" x14ac:dyDescent="0.2">
      <c r="A8" s="7">
        <v>1981</v>
      </c>
      <c r="B8" s="56">
        <f t="shared" ref="B8:B44" si="3">+K7</f>
        <v>1736.1179999999999</v>
      </c>
      <c r="C8" s="56">
        <v>10979.424999999999</v>
      </c>
      <c r="D8" s="56">
        <v>2.8000000000000001E-2</v>
      </c>
      <c r="E8" s="56">
        <f t="shared" si="0"/>
        <v>12715.571</v>
      </c>
      <c r="F8" s="56"/>
      <c r="G8" s="56">
        <f t="shared" si="1"/>
        <v>9536.0229999999992</v>
      </c>
      <c r="H8" s="77" t="s">
        <v>150</v>
      </c>
      <c r="I8" s="56">
        <v>2077</v>
      </c>
      <c r="J8" s="56">
        <f t="shared" si="2"/>
        <v>11613.022999999999</v>
      </c>
      <c r="K8" s="56">
        <v>1102.548</v>
      </c>
      <c r="L8" s="58">
        <v>18.95</v>
      </c>
    </row>
    <row r="9" spans="1:12" x14ac:dyDescent="0.2">
      <c r="A9" s="7">
        <v>1982</v>
      </c>
      <c r="B9" s="56">
        <f t="shared" si="3"/>
        <v>1102.548</v>
      </c>
      <c r="C9" s="56">
        <v>12040.358</v>
      </c>
      <c r="D9" s="56">
        <v>9.1999999999999998E-2</v>
      </c>
      <c r="E9" s="56">
        <f t="shared" si="0"/>
        <v>13142.998000000001</v>
      </c>
      <c r="F9" s="56"/>
      <c r="G9" s="56">
        <f t="shared" si="1"/>
        <v>9857.0520000000015</v>
      </c>
      <c r="H9" s="77" t="s">
        <v>150</v>
      </c>
      <c r="I9" s="56">
        <v>2025</v>
      </c>
      <c r="J9" s="56">
        <f t="shared" si="2"/>
        <v>11882.052000000001</v>
      </c>
      <c r="K9" s="56">
        <v>1260.9459999999999</v>
      </c>
      <c r="L9" s="58">
        <v>20.62</v>
      </c>
    </row>
    <row r="10" spans="1:12" x14ac:dyDescent="0.2">
      <c r="A10" s="7">
        <v>1983</v>
      </c>
      <c r="B10" s="56">
        <f t="shared" si="3"/>
        <v>1260.9459999999999</v>
      </c>
      <c r="C10" s="56">
        <v>10862.793</v>
      </c>
      <c r="D10" s="56">
        <v>7.9000000000000001E-2</v>
      </c>
      <c r="E10" s="56">
        <f t="shared" si="0"/>
        <v>12123.817999999999</v>
      </c>
      <c r="F10" s="56"/>
      <c r="G10" s="56">
        <f t="shared" si="1"/>
        <v>9579.3089999999993</v>
      </c>
      <c r="H10" s="77" t="s">
        <v>150</v>
      </c>
      <c r="I10" s="56">
        <v>1824</v>
      </c>
      <c r="J10" s="56">
        <f t="shared" si="2"/>
        <v>11403.308999999999</v>
      </c>
      <c r="K10" s="56">
        <v>720.50900000000001</v>
      </c>
      <c r="L10" s="58">
        <v>30.55</v>
      </c>
    </row>
    <row r="11" spans="1:12" x14ac:dyDescent="0.2">
      <c r="A11" s="7">
        <v>1984</v>
      </c>
      <c r="B11" s="56">
        <f t="shared" si="3"/>
        <v>720.50900000000001</v>
      </c>
      <c r="C11" s="56">
        <v>11467.944</v>
      </c>
      <c r="D11" s="56">
        <v>20.401</v>
      </c>
      <c r="E11" s="56">
        <f t="shared" si="0"/>
        <v>12208.853999999999</v>
      </c>
      <c r="F11" s="56"/>
      <c r="G11" s="56">
        <f t="shared" si="1"/>
        <v>9916.3599999999988</v>
      </c>
      <c r="H11" s="77" t="s">
        <v>150</v>
      </c>
      <c r="I11" s="56">
        <v>1660</v>
      </c>
      <c r="J11" s="56">
        <f t="shared" si="2"/>
        <v>11576.359999999999</v>
      </c>
      <c r="K11" s="56">
        <v>632.49400000000003</v>
      </c>
      <c r="L11" s="58">
        <v>29.52</v>
      </c>
    </row>
    <row r="12" spans="1:12" x14ac:dyDescent="0.2">
      <c r="A12" s="7">
        <v>1985</v>
      </c>
      <c r="B12" s="56">
        <f t="shared" si="3"/>
        <v>632.49400000000003</v>
      </c>
      <c r="C12" s="56">
        <v>11617.272000000001</v>
      </c>
      <c r="D12" s="56">
        <v>7.7030000000000003</v>
      </c>
      <c r="E12" s="56">
        <f t="shared" si="0"/>
        <v>12257.469000000001</v>
      </c>
      <c r="F12" s="56"/>
      <c r="G12" s="56">
        <f t="shared" si="1"/>
        <v>10053.876</v>
      </c>
      <c r="H12" s="77" t="s">
        <v>150</v>
      </c>
      <c r="I12" s="56">
        <v>1257</v>
      </c>
      <c r="J12" s="56">
        <f t="shared" si="2"/>
        <v>11310.876</v>
      </c>
      <c r="K12" s="56">
        <v>946.59299999999996</v>
      </c>
      <c r="L12" s="58">
        <v>18.02</v>
      </c>
    </row>
    <row r="13" spans="1:12" x14ac:dyDescent="0.2">
      <c r="A13" s="7">
        <v>1986</v>
      </c>
      <c r="B13" s="56">
        <f t="shared" si="3"/>
        <v>946.59299999999996</v>
      </c>
      <c r="C13" s="56">
        <v>12783.103999999999</v>
      </c>
      <c r="D13" s="56">
        <v>15</v>
      </c>
      <c r="E13" s="56">
        <f t="shared" si="0"/>
        <v>13744.697</v>
      </c>
      <c r="F13" s="56"/>
      <c r="G13" s="56">
        <f t="shared" si="1"/>
        <v>10832.699000000001</v>
      </c>
      <c r="H13" s="77" t="s">
        <v>150</v>
      </c>
      <c r="I13" s="56">
        <v>1187</v>
      </c>
      <c r="J13" s="56">
        <f t="shared" si="2"/>
        <v>12019.699000000001</v>
      </c>
      <c r="K13" s="56">
        <v>1724.998</v>
      </c>
      <c r="L13" s="58">
        <v>15.36</v>
      </c>
    </row>
    <row r="14" spans="1:12" x14ac:dyDescent="0.2">
      <c r="A14" s="7">
        <v>1987</v>
      </c>
      <c r="B14" s="56">
        <f t="shared" si="3"/>
        <v>1724.998</v>
      </c>
      <c r="C14" s="56">
        <v>12974.541999999999</v>
      </c>
      <c r="D14" s="56">
        <v>193.87220000000002</v>
      </c>
      <c r="E14" s="56">
        <f t="shared" si="0"/>
        <v>14893.412199999999</v>
      </c>
      <c r="F14" s="56"/>
      <c r="G14" s="56">
        <f t="shared" si="1"/>
        <v>10927.173199999999</v>
      </c>
      <c r="H14" s="77" t="s">
        <v>150</v>
      </c>
      <c r="I14" s="56">
        <v>1874</v>
      </c>
      <c r="J14" s="56">
        <f t="shared" si="2"/>
        <v>12801.173199999999</v>
      </c>
      <c r="K14" s="56">
        <v>2092.239</v>
      </c>
      <c r="L14" s="58">
        <v>22.67</v>
      </c>
    </row>
    <row r="15" spans="1:12" x14ac:dyDescent="0.2">
      <c r="A15" s="7">
        <v>1988</v>
      </c>
      <c r="B15" s="56">
        <f t="shared" si="3"/>
        <v>2092.239</v>
      </c>
      <c r="C15" s="56">
        <v>11737.045</v>
      </c>
      <c r="D15" s="56">
        <v>137.67225223063201</v>
      </c>
      <c r="E15" s="56">
        <f t="shared" si="0"/>
        <v>13966.956252230631</v>
      </c>
      <c r="F15" s="56"/>
      <c r="G15" s="56">
        <f t="shared" si="1"/>
        <v>10590.539252230632</v>
      </c>
      <c r="H15" s="77" t="s">
        <v>150</v>
      </c>
      <c r="I15" s="56">
        <v>1661</v>
      </c>
      <c r="J15" s="56">
        <f t="shared" si="2"/>
        <v>12251.539252230632</v>
      </c>
      <c r="K15" s="56">
        <v>1715.4169999999999</v>
      </c>
      <c r="L15" s="58">
        <v>21.09</v>
      </c>
    </row>
    <row r="16" spans="1:12" x14ac:dyDescent="0.2">
      <c r="A16" s="7">
        <v>1989</v>
      </c>
      <c r="B16" s="56">
        <f t="shared" si="3"/>
        <v>1715.4169999999999</v>
      </c>
      <c r="C16" s="56">
        <v>13003.582</v>
      </c>
      <c r="D16" s="56">
        <v>21.515940000000004</v>
      </c>
      <c r="E16" s="56">
        <f t="shared" si="0"/>
        <v>14740.514939999999</v>
      </c>
      <c r="F16" s="56"/>
      <c r="G16" s="56">
        <f t="shared" si="1"/>
        <v>12082.49094</v>
      </c>
      <c r="H16" s="77" t="s">
        <v>150</v>
      </c>
      <c r="I16" s="56">
        <v>1353</v>
      </c>
      <c r="J16" s="56">
        <f t="shared" si="2"/>
        <v>13435.49094</v>
      </c>
      <c r="K16" s="56">
        <v>1305.0239999999999</v>
      </c>
      <c r="L16" s="58">
        <v>22.28</v>
      </c>
    </row>
    <row r="17" spans="1:12" x14ac:dyDescent="0.2">
      <c r="A17" s="7">
        <v>1990</v>
      </c>
      <c r="B17" s="56">
        <f t="shared" si="3"/>
        <v>1305.0239999999999</v>
      </c>
      <c r="C17" s="56">
        <v>13408.047</v>
      </c>
      <c r="D17" s="56">
        <v>17.351088417648</v>
      </c>
      <c r="E17" s="56">
        <f t="shared" si="0"/>
        <v>14730.422088417648</v>
      </c>
      <c r="F17" s="56"/>
      <c r="G17" s="56">
        <f t="shared" si="1"/>
        <v>12136.128088417649</v>
      </c>
      <c r="H17" s="77" t="s">
        <v>150</v>
      </c>
      <c r="I17" s="56">
        <v>808</v>
      </c>
      <c r="J17" s="56">
        <f t="shared" si="2"/>
        <v>12944.128088417649</v>
      </c>
      <c r="K17" s="56">
        <v>1786.2940000000001</v>
      </c>
      <c r="L17" s="58">
        <v>20.98</v>
      </c>
    </row>
    <row r="18" spans="1:12" x14ac:dyDescent="0.2">
      <c r="A18" s="7">
        <v>1991</v>
      </c>
      <c r="B18" s="56">
        <f t="shared" si="3"/>
        <v>1786.2940000000001</v>
      </c>
      <c r="C18" s="56">
        <v>14344.699000000001</v>
      </c>
      <c r="D18" s="56">
        <v>0.54088982316800005</v>
      </c>
      <c r="E18" s="56">
        <f t="shared" si="0"/>
        <v>16131.533889823168</v>
      </c>
      <c r="F18" s="56"/>
      <c r="G18" s="56">
        <f t="shared" si="1"/>
        <v>12248.151889823168</v>
      </c>
      <c r="H18" s="77" t="s">
        <v>150</v>
      </c>
      <c r="I18" s="56">
        <v>1644</v>
      </c>
      <c r="J18" s="56">
        <f t="shared" si="2"/>
        <v>13892.151889823168</v>
      </c>
      <c r="K18" s="56">
        <v>2239.3820000000001</v>
      </c>
      <c r="L18" s="58">
        <v>19.13</v>
      </c>
    </row>
    <row r="19" spans="1:12" x14ac:dyDescent="0.2">
      <c r="A19" s="7">
        <v>1992</v>
      </c>
      <c r="B19" s="56">
        <f t="shared" si="3"/>
        <v>2239.3820000000001</v>
      </c>
      <c r="C19" s="56">
        <v>13778.489</v>
      </c>
      <c r="D19" s="56">
        <v>9.949287</v>
      </c>
      <c r="E19" s="56">
        <f t="shared" si="0"/>
        <v>16027.820286999999</v>
      </c>
      <c r="F19" s="56"/>
      <c r="G19" s="56">
        <f t="shared" si="1"/>
        <v>13012.032286999998</v>
      </c>
      <c r="H19" s="77" t="s">
        <v>150</v>
      </c>
      <c r="I19" s="56">
        <v>1461</v>
      </c>
      <c r="J19" s="56">
        <f t="shared" si="2"/>
        <v>14473.032286999998</v>
      </c>
      <c r="K19" s="56">
        <v>1554.788</v>
      </c>
      <c r="L19" s="58">
        <v>21.24</v>
      </c>
    </row>
    <row r="20" spans="1:12" x14ac:dyDescent="0.2">
      <c r="A20" s="7">
        <v>1993</v>
      </c>
      <c r="B20" s="56">
        <f t="shared" si="3"/>
        <v>1554.788</v>
      </c>
      <c r="C20" s="56">
        <v>13951.210999999999</v>
      </c>
      <c r="D20" s="56">
        <v>67.638728</v>
      </c>
      <c r="E20" s="56">
        <f t="shared" si="0"/>
        <v>15573.637728</v>
      </c>
      <c r="F20" s="56"/>
      <c r="G20" s="56">
        <f t="shared" si="1"/>
        <v>12939.544727999999</v>
      </c>
      <c r="H20" s="77" t="s">
        <v>150</v>
      </c>
      <c r="I20" s="56">
        <v>1531</v>
      </c>
      <c r="J20" s="56">
        <f t="shared" si="2"/>
        <v>14470.544727999999</v>
      </c>
      <c r="K20" s="56">
        <v>1103.0930000000001</v>
      </c>
      <c r="L20" s="58">
        <v>26.96</v>
      </c>
    </row>
    <row r="21" spans="1:12" x14ac:dyDescent="0.2">
      <c r="A21" s="7">
        <v>1994</v>
      </c>
      <c r="B21" s="56">
        <f t="shared" si="3"/>
        <v>1103.0930000000001</v>
      </c>
      <c r="C21" s="56">
        <v>15612.856</v>
      </c>
      <c r="D21" s="56">
        <v>17.2667122193</v>
      </c>
      <c r="E21" s="56">
        <f t="shared" si="0"/>
        <v>16733.215712219302</v>
      </c>
      <c r="F21" s="56"/>
      <c r="G21" s="56">
        <f t="shared" si="1"/>
        <v>12913.532712219301</v>
      </c>
      <c r="H21" s="77" t="s">
        <v>150</v>
      </c>
      <c r="I21" s="56">
        <v>2683</v>
      </c>
      <c r="J21" s="56">
        <f t="shared" si="2"/>
        <v>15596.532712219301</v>
      </c>
      <c r="K21" s="56">
        <v>1136.683</v>
      </c>
      <c r="L21" s="58">
        <v>27.51</v>
      </c>
    </row>
    <row r="22" spans="1:12" x14ac:dyDescent="0.2">
      <c r="A22" s="7">
        <v>1995</v>
      </c>
      <c r="B22" s="56">
        <f t="shared" si="3"/>
        <v>1136.683</v>
      </c>
      <c r="C22" s="56">
        <v>15239.949000000001</v>
      </c>
      <c r="D22" s="56">
        <v>95.399291646666015</v>
      </c>
      <c r="E22" s="56">
        <f t="shared" si="0"/>
        <v>16472.031291646668</v>
      </c>
      <c r="F22" s="56"/>
      <c r="G22" s="56">
        <f t="shared" si="1"/>
        <v>13464.780301804049</v>
      </c>
      <c r="H22" s="77" t="s">
        <v>150</v>
      </c>
      <c r="I22" s="56">
        <v>991.80698984262006</v>
      </c>
      <c r="J22" s="56">
        <f t="shared" si="2"/>
        <v>14456.587291646669</v>
      </c>
      <c r="K22" s="56">
        <v>2015.444</v>
      </c>
      <c r="L22" s="58">
        <v>24.7</v>
      </c>
    </row>
    <row r="23" spans="1:12" x14ac:dyDescent="0.2">
      <c r="A23" s="7">
        <v>1996</v>
      </c>
      <c r="B23" s="56">
        <f t="shared" si="3"/>
        <v>2015.444</v>
      </c>
      <c r="C23" s="56">
        <v>15752.1</v>
      </c>
      <c r="D23" s="56">
        <v>53.115589674126007</v>
      </c>
      <c r="E23" s="56">
        <f t="shared" si="0"/>
        <v>17820.659589674127</v>
      </c>
      <c r="F23" s="56"/>
      <c r="G23" s="56">
        <f t="shared" si="1"/>
        <v>14267.137620924283</v>
      </c>
      <c r="H23" s="77" t="s">
        <v>150</v>
      </c>
      <c r="I23" s="56">
        <v>2033.3389687498443</v>
      </c>
      <c r="J23" s="56">
        <f t="shared" si="2"/>
        <v>16300.476589674126</v>
      </c>
      <c r="K23" s="56">
        <v>1520.183</v>
      </c>
      <c r="L23" s="58">
        <v>22.51</v>
      </c>
    </row>
    <row r="24" spans="1:12" x14ac:dyDescent="0.2">
      <c r="A24" s="7">
        <v>1997</v>
      </c>
      <c r="B24" s="56">
        <f t="shared" si="3"/>
        <v>1520.183</v>
      </c>
      <c r="C24" s="56">
        <v>18142.795999999998</v>
      </c>
      <c r="D24" s="56">
        <v>60.375334962978002</v>
      </c>
      <c r="E24" s="56">
        <f t="shared" si="0"/>
        <v>19723.354334962976</v>
      </c>
      <c r="F24" s="56"/>
      <c r="G24" s="56">
        <f t="shared" si="1"/>
        <v>15261.745387379917</v>
      </c>
      <c r="H24" s="77" t="s">
        <v>150</v>
      </c>
      <c r="I24" s="56">
        <v>3079.2119475830586</v>
      </c>
      <c r="J24" s="56">
        <f t="shared" si="2"/>
        <v>18340.957334962975</v>
      </c>
      <c r="K24" s="56">
        <v>1382.3969999999999</v>
      </c>
      <c r="L24" s="58">
        <v>25.83</v>
      </c>
    </row>
    <row r="25" spans="1:12" x14ac:dyDescent="0.2">
      <c r="A25" s="7">
        <v>1998</v>
      </c>
      <c r="B25" s="56">
        <f t="shared" si="3"/>
        <v>1382.3969999999999</v>
      </c>
      <c r="C25" s="56">
        <v>18078.099999999999</v>
      </c>
      <c r="D25" s="56">
        <v>82.652998385160018</v>
      </c>
      <c r="E25" s="56">
        <f t="shared" si="0"/>
        <v>19543.149998385161</v>
      </c>
      <c r="F25" s="56"/>
      <c r="G25" s="56">
        <f t="shared" si="1"/>
        <v>15651.95116538301</v>
      </c>
      <c r="H25" s="77" t="s">
        <v>150</v>
      </c>
      <c r="I25" s="56">
        <v>2371.6228330021499</v>
      </c>
      <c r="J25" s="56">
        <f t="shared" si="2"/>
        <v>18023.57399838516</v>
      </c>
      <c r="K25" s="56">
        <v>1519.576</v>
      </c>
      <c r="L25" s="58">
        <v>19.8</v>
      </c>
    </row>
    <row r="26" spans="1:12" x14ac:dyDescent="0.2">
      <c r="A26" s="7">
        <v>1999</v>
      </c>
      <c r="B26" s="56">
        <f t="shared" si="3"/>
        <v>1519.576</v>
      </c>
      <c r="C26" s="56">
        <v>17824.746999999999</v>
      </c>
      <c r="D26" s="56">
        <v>82.808437463891991</v>
      </c>
      <c r="E26" s="56">
        <f t="shared" si="0"/>
        <v>19427.131437463893</v>
      </c>
      <c r="F26" s="56"/>
      <c r="G26" s="56">
        <f t="shared" si="1"/>
        <v>16059.095925842572</v>
      </c>
      <c r="H26" s="77" t="s">
        <v>150</v>
      </c>
      <c r="I26" s="56">
        <v>1374.592511621322</v>
      </c>
      <c r="J26" s="56">
        <f t="shared" si="2"/>
        <v>17433.688437463894</v>
      </c>
      <c r="K26" s="56">
        <v>1993.443</v>
      </c>
      <c r="L26" s="58">
        <v>15.59</v>
      </c>
    </row>
    <row r="27" spans="1:12" x14ac:dyDescent="0.2">
      <c r="A27" s="7">
        <v>2000</v>
      </c>
      <c r="B27" s="57">
        <f t="shared" si="3"/>
        <v>1993.443</v>
      </c>
      <c r="C27" s="57">
        <v>18419.7</v>
      </c>
      <c r="D27" s="57">
        <v>72.998000000000005</v>
      </c>
      <c r="E27" s="56">
        <f t="shared" si="0"/>
        <v>20486.141</v>
      </c>
      <c r="F27" s="57"/>
      <c r="G27" s="57">
        <f t="shared" si="1"/>
        <v>16318.219816251454</v>
      </c>
      <c r="H27" s="77" t="s">
        <v>150</v>
      </c>
      <c r="I27" s="57">
        <v>1401.0221837485442</v>
      </c>
      <c r="J27" s="57">
        <f t="shared" si="2"/>
        <v>17719.241999999998</v>
      </c>
      <c r="K27" s="57">
        <v>2766.8989999999999</v>
      </c>
      <c r="L27" s="58">
        <v>14.09</v>
      </c>
    </row>
    <row r="28" spans="1:12" x14ac:dyDescent="0.2">
      <c r="A28" s="41">
        <v>2001</v>
      </c>
      <c r="B28" s="57">
        <f t="shared" si="3"/>
        <v>2766.8989999999999</v>
      </c>
      <c r="C28" s="57">
        <v>18898.235000000001</v>
      </c>
      <c r="D28" s="57">
        <v>45.957999999999998</v>
      </c>
      <c r="E28" s="56">
        <f t="shared" si="0"/>
        <v>21711.092000000001</v>
      </c>
      <c r="F28" s="57"/>
      <c r="G28" s="57">
        <f t="shared" si="1"/>
        <v>16833.150143195951</v>
      </c>
      <c r="H28" s="77" t="s">
        <v>150</v>
      </c>
      <c r="I28" s="57">
        <v>2519.341856804052</v>
      </c>
      <c r="J28" s="57">
        <f t="shared" si="2"/>
        <v>19352.492000000002</v>
      </c>
      <c r="K28" s="57">
        <v>2358.6</v>
      </c>
      <c r="L28" s="58">
        <v>16.46</v>
      </c>
    </row>
    <row r="29" spans="1:12" x14ac:dyDescent="0.2">
      <c r="A29" s="41">
        <v>2002</v>
      </c>
      <c r="B29" s="57">
        <f t="shared" si="3"/>
        <v>2358.6</v>
      </c>
      <c r="C29" s="57">
        <v>18430.248</v>
      </c>
      <c r="D29" s="57">
        <v>46.027000000000001</v>
      </c>
      <c r="E29" s="56">
        <f t="shared" si="0"/>
        <v>20834.874999999996</v>
      </c>
      <c r="F29" s="57"/>
      <c r="G29" s="57">
        <f t="shared" si="1"/>
        <v>17080.895517263172</v>
      </c>
      <c r="H29" s="77" t="s">
        <v>150</v>
      </c>
      <c r="I29" s="57">
        <v>2263.3484827368238</v>
      </c>
      <c r="J29" s="57">
        <f t="shared" si="2"/>
        <v>19344.243999999995</v>
      </c>
      <c r="K29" s="57">
        <v>1490.6310000000001</v>
      </c>
      <c r="L29" s="58">
        <v>22.04</v>
      </c>
    </row>
    <row r="30" spans="1:12" x14ac:dyDescent="0.2">
      <c r="A30" s="41">
        <v>2003</v>
      </c>
      <c r="B30" s="57">
        <f t="shared" si="3"/>
        <v>1490.6310000000001</v>
      </c>
      <c r="C30" s="57">
        <v>17080.411</v>
      </c>
      <c r="D30" s="57">
        <v>306.18687396691797</v>
      </c>
      <c r="E30" s="56">
        <f t="shared" si="0"/>
        <v>18877.22887396692</v>
      </c>
      <c r="F30" s="57"/>
      <c r="G30" s="57">
        <f t="shared" si="1"/>
        <v>16865.617739980244</v>
      </c>
      <c r="H30" s="57">
        <v>137.4</v>
      </c>
      <c r="I30" s="57">
        <v>935.98013398667399</v>
      </c>
      <c r="J30" s="57">
        <f t="shared" si="2"/>
        <v>17801.597873966919</v>
      </c>
      <c r="K30" s="57">
        <v>1075.6310000000001</v>
      </c>
      <c r="L30" s="58">
        <v>29.97</v>
      </c>
    </row>
    <row r="31" spans="1:12" x14ac:dyDescent="0.2">
      <c r="A31" s="41">
        <v>2004</v>
      </c>
      <c r="B31" s="57">
        <f t="shared" si="3"/>
        <v>1075.6310000000001</v>
      </c>
      <c r="C31" s="57">
        <v>19359.734</v>
      </c>
      <c r="D31" s="57">
        <v>26.268284978333998</v>
      </c>
      <c r="E31" s="56">
        <f t="shared" si="0"/>
        <v>20461.633284978336</v>
      </c>
      <c r="F31" s="57"/>
      <c r="G31" s="57">
        <f t="shared" si="1"/>
        <v>17438.951194781061</v>
      </c>
      <c r="H31" s="57">
        <v>445.23</v>
      </c>
      <c r="I31" s="57">
        <v>1323.6520901972758</v>
      </c>
      <c r="J31" s="57">
        <f t="shared" si="2"/>
        <v>18762.603284978337</v>
      </c>
      <c r="K31" s="57">
        <v>1699.03</v>
      </c>
      <c r="L31" s="58">
        <v>23.01</v>
      </c>
    </row>
    <row r="32" spans="1:12" x14ac:dyDescent="0.2">
      <c r="A32" s="41">
        <v>2005</v>
      </c>
      <c r="B32" s="57">
        <f t="shared" si="3"/>
        <v>1699.03</v>
      </c>
      <c r="C32" s="57">
        <v>20387.420999999998</v>
      </c>
      <c r="D32" s="57">
        <v>35.337008598444001</v>
      </c>
      <c r="E32" s="56">
        <f t="shared" si="0"/>
        <v>22121.78800859844</v>
      </c>
      <c r="F32" s="57"/>
      <c r="G32" s="57">
        <f t="shared" si="1"/>
        <v>17958.607551960602</v>
      </c>
      <c r="H32" s="57">
        <v>1555.0260000000001</v>
      </c>
      <c r="I32" s="57">
        <v>1153.354456637838</v>
      </c>
      <c r="J32" s="57">
        <f t="shared" si="2"/>
        <v>19111.962008598439</v>
      </c>
      <c r="K32" s="57">
        <v>3009.826</v>
      </c>
      <c r="L32" s="58">
        <v>23.41</v>
      </c>
    </row>
    <row r="33" spans="1:12" x14ac:dyDescent="0.2">
      <c r="A33" s="41">
        <v>2006</v>
      </c>
      <c r="B33" s="57">
        <f t="shared" si="3"/>
        <v>3009.826</v>
      </c>
      <c r="C33" s="57">
        <v>20488.99351</v>
      </c>
      <c r="D33" s="57">
        <v>37.473177085344005</v>
      </c>
      <c r="E33" s="56">
        <f t="shared" si="0"/>
        <v>23536.292687085344</v>
      </c>
      <c r="F33" s="57"/>
      <c r="G33" s="57">
        <f t="shared" si="1"/>
        <v>18574.448188614173</v>
      </c>
      <c r="H33" s="57">
        <v>2761.4929999999999</v>
      </c>
      <c r="I33" s="57">
        <v>1876.6194984711722</v>
      </c>
      <c r="J33" s="57">
        <f t="shared" si="2"/>
        <v>20451.067687085346</v>
      </c>
      <c r="K33" s="57">
        <v>3085.2249999999999</v>
      </c>
      <c r="L33" s="58">
        <v>31.02</v>
      </c>
    </row>
    <row r="34" spans="1:12" x14ac:dyDescent="0.2">
      <c r="A34" s="41">
        <v>2007</v>
      </c>
      <c r="B34" s="57">
        <f t="shared" si="3"/>
        <v>3085.2249999999999</v>
      </c>
      <c r="C34" s="57">
        <f>[1]tab8!C20/1000</f>
        <v>20579.830779999997</v>
      </c>
      <c r="D34" s="57">
        <f>[1]tab8!D20/1000</f>
        <v>65.355102067247998</v>
      </c>
      <c r="E34" s="56">
        <f t="shared" si="0"/>
        <v>23730.410882067245</v>
      </c>
      <c r="F34" s="57"/>
      <c r="G34" s="57">
        <f t="shared" si="1"/>
        <v>18334.765425604342</v>
      </c>
      <c r="H34" s="57">
        <v>3245.2919999999999</v>
      </c>
      <c r="I34" s="57">
        <f>[1]tab8!I20/1000</f>
        <v>2911.0484564629019</v>
      </c>
      <c r="J34" s="57">
        <f t="shared" si="2"/>
        <v>21245.813882067243</v>
      </c>
      <c r="K34" s="57">
        <f>[1]tab8!K19/1000</f>
        <v>2484.5970000000002</v>
      </c>
      <c r="L34" s="58">
        <v>52.03</v>
      </c>
    </row>
    <row r="35" spans="1:12" x14ac:dyDescent="0.2">
      <c r="A35" s="41">
        <v>2008</v>
      </c>
      <c r="B35" s="57">
        <f t="shared" si="3"/>
        <v>2484.5970000000002</v>
      </c>
      <c r="C35" s="57">
        <f>[1]tab8!C34/1000</f>
        <v>18744.967840000001</v>
      </c>
      <c r="D35" s="57">
        <f>[1]tab8!D34/1000</f>
        <v>89.577464760251985</v>
      </c>
      <c r="E35" s="56">
        <f t="shared" si="0"/>
        <v>21319.142304760255</v>
      </c>
      <c r="F35" s="57"/>
      <c r="G35" s="57">
        <f t="shared" si="1"/>
        <v>16265.203884786391</v>
      </c>
      <c r="H35" s="57">
        <v>2068.752</v>
      </c>
      <c r="I35" s="57">
        <f>[1]tab8!I34/1000</f>
        <v>2193.4384199738643</v>
      </c>
      <c r="J35" s="57">
        <f t="shared" si="2"/>
        <v>18458.642304760255</v>
      </c>
      <c r="K35" s="57">
        <f>[1]tab8!K33/1000</f>
        <v>2860.5</v>
      </c>
      <c r="L35" s="58">
        <v>32.159999999999997</v>
      </c>
    </row>
    <row r="36" spans="1:12" x14ac:dyDescent="0.2">
      <c r="A36" s="41">
        <v>2009</v>
      </c>
      <c r="B36" s="57">
        <f t="shared" si="3"/>
        <v>2860.5</v>
      </c>
      <c r="C36" s="57">
        <f>[1]tab8!C48/1000</f>
        <v>19615.31352</v>
      </c>
      <c r="D36" s="57">
        <f>[1]tab8!D48/1000</f>
        <v>102.57960440485799</v>
      </c>
      <c r="E36" s="56">
        <f t="shared" si="0"/>
        <v>22578.393124404858</v>
      </c>
      <c r="F36" s="57"/>
      <c r="G36" s="57">
        <f t="shared" si="1"/>
        <v>15813.946153701158</v>
      </c>
      <c r="H36" s="57">
        <v>1680.3030000000001</v>
      </c>
      <c r="I36" s="57">
        <f>[1]tab8!I48/1000</f>
        <v>3358.6669707037017</v>
      </c>
      <c r="J36" s="57">
        <f t="shared" si="2"/>
        <v>19172.613124404859</v>
      </c>
      <c r="K36" s="57">
        <f>[1]tab8!K47/1000</f>
        <v>3405.78</v>
      </c>
      <c r="L36" s="58">
        <v>35.950000000000003</v>
      </c>
    </row>
    <row r="37" spans="1:12" x14ac:dyDescent="0.2">
      <c r="A37" s="41">
        <v>2010</v>
      </c>
      <c r="B37" s="57">
        <f t="shared" si="3"/>
        <v>3405.78</v>
      </c>
      <c r="C37" s="57">
        <f>[1]tab8!C62/1000</f>
        <v>18887.582520000004</v>
      </c>
      <c r="D37" s="57">
        <f>[1]tab8!D62/1000</f>
        <v>159.001291527246</v>
      </c>
      <c r="E37" s="56">
        <f t="shared" si="0"/>
        <v>22452.363811527248</v>
      </c>
      <c r="F37" s="57"/>
      <c r="G37" s="57">
        <f t="shared" si="1"/>
        <v>16544.42941413249</v>
      </c>
      <c r="H37" s="57">
        <v>2737</v>
      </c>
      <c r="I37" s="57">
        <f>[1]tab8!I62/1000</f>
        <v>3232.934397394758</v>
      </c>
      <c r="J37" s="57">
        <f t="shared" si="2"/>
        <v>19777.363811527248</v>
      </c>
      <c r="K37" s="57">
        <v>2675</v>
      </c>
      <c r="L37" s="58">
        <v>53.2</v>
      </c>
    </row>
    <row r="38" spans="1:12" x14ac:dyDescent="0.2">
      <c r="A38" s="41">
        <v>2011</v>
      </c>
      <c r="B38" s="57">
        <f t="shared" si="3"/>
        <v>2675</v>
      </c>
      <c r="C38" s="57">
        <v>19740</v>
      </c>
      <c r="D38" s="57">
        <v>149.136403945788</v>
      </c>
      <c r="E38" s="56">
        <f t="shared" si="0"/>
        <v>22564.136403945788</v>
      </c>
      <c r="F38" s="57"/>
      <c r="G38" s="57">
        <f t="shared" si="1"/>
        <v>18510.023666165198</v>
      </c>
      <c r="H38" s="57">
        <v>4874</v>
      </c>
      <c r="I38" s="57">
        <v>1464.1127377805883</v>
      </c>
      <c r="J38" s="57">
        <f t="shared" si="2"/>
        <v>19974.136403945788</v>
      </c>
      <c r="K38" s="64">
        <v>2590</v>
      </c>
      <c r="L38" s="58">
        <v>51.9</v>
      </c>
    </row>
    <row r="39" spans="1:12" x14ac:dyDescent="0.2">
      <c r="A39" s="41">
        <v>2012</v>
      </c>
      <c r="B39" s="57">
        <f t="shared" si="3"/>
        <v>2590</v>
      </c>
      <c r="C39" s="57">
        <v>19820</v>
      </c>
      <c r="D39" s="57">
        <v>195.5896232903676</v>
      </c>
      <c r="E39" s="56">
        <f t="shared" si="0"/>
        <v>22605.589623290369</v>
      </c>
      <c r="F39" s="57"/>
      <c r="G39" s="57">
        <f t="shared" si="1"/>
        <v>18787.095713116814</v>
      </c>
      <c r="H39" s="57">
        <v>4689</v>
      </c>
      <c r="I39" s="57">
        <v>2163.493910173554</v>
      </c>
      <c r="J39" s="57">
        <f>+E39-K39</f>
        <v>20950.589623290369</v>
      </c>
      <c r="K39" s="64">
        <v>1655</v>
      </c>
      <c r="L39" s="58">
        <v>47.13</v>
      </c>
    </row>
    <row r="40" spans="1:12" x14ac:dyDescent="0.2">
      <c r="A40" s="41">
        <v>2013</v>
      </c>
      <c r="B40" s="57">
        <f t="shared" si="3"/>
        <v>1655</v>
      </c>
      <c r="C40" s="57">
        <v>20130</v>
      </c>
      <c r="D40" s="57">
        <v>165.03584988615484</v>
      </c>
      <c r="E40" s="56">
        <f t="shared" si="0"/>
        <v>21950.035849886153</v>
      </c>
      <c r="F40" s="57"/>
      <c r="G40" s="57">
        <f t="shared" si="1"/>
        <v>18907.953572597096</v>
      </c>
      <c r="H40" s="57">
        <v>5010.29</v>
      </c>
      <c r="I40" s="57">
        <v>1877.0822772890576</v>
      </c>
      <c r="J40" s="57">
        <f>+E40-K40</f>
        <v>20785.035849886153</v>
      </c>
      <c r="K40" s="64">
        <v>1165</v>
      </c>
      <c r="L40" s="58">
        <v>38.229999999999997</v>
      </c>
    </row>
    <row r="41" spans="1:12" x14ac:dyDescent="0.2">
      <c r="A41" s="41">
        <v>2014</v>
      </c>
      <c r="B41" s="57">
        <f t="shared" si="3"/>
        <v>1165</v>
      </c>
      <c r="C41" s="64">
        <v>21399</v>
      </c>
      <c r="D41" s="64">
        <v>264.33291896083801</v>
      </c>
      <c r="E41" s="56">
        <f t="shared" si="0"/>
        <v>22828.332918960838</v>
      </c>
      <c r="F41" s="57"/>
      <c r="G41" s="57">
        <f>+J41-I41</f>
        <v>18959.434800477735</v>
      </c>
      <c r="H41" s="64">
        <v>5038.59</v>
      </c>
      <c r="I41" s="64">
        <v>2014.0801184831043</v>
      </c>
      <c r="J41" s="57">
        <f>+E41-K41</f>
        <v>20973.514918960838</v>
      </c>
      <c r="K41" s="64">
        <v>1854.818</v>
      </c>
      <c r="L41" s="60">
        <v>31.6</v>
      </c>
    </row>
    <row r="42" spans="1:12" x14ac:dyDescent="0.2">
      <c r="A42" s="41">
        <v>2015</v>
      </c>
      <c r="B42" s="57">
        <f t="shared" si="3"/>
        <v>1854.818</v>
      </c>
      <c r="C42" s="64">
        <f>[1]tab8!C76/1000</f>
        <v>21950.231</v>
      </c>
      <c r="D42" s="64">
        <f>[1]tab8!D76/1000</f>
        <v>286.55315418454205</v>
      </c>
      <c r="E42" s="56">
        <f t="shared" si="0"/>
        <v>24091.60215418454</v>
      </c>
      <c r="F42" s="57"/>
      <c r="G42" s="57">
        <f>+J42-I42</f>
        <v>20162.2479225438</v>
      </c>
      <c r="H42" s="64">
        <f>[1]tab8!H76/1000</f>
        <v>5670.21</v>
      </c>
      <c r="I42" s="64">
        <f>[1]tab8!I76/1000</f>
        <v>2242.5412316407378</v>
      </c>
      <c r="J42" s="57">
        <f>+E42-K42</f>
        <v>22404.789154184538</v>
      </c>
      <c r="K42" s="64">
        <f>[1]tab8!K75/1000</f>
        <v>1686.8130000000001</v>
      </c>
      <c r="L42" s="60">
        <v>29.86</v>
      </c>
    </row>
    <row r="43" spans="1:12" x14ac:dyDescent="0.2">
      <c r="A43" s="41">
        <v>2016</v>
      </c>
      <c r="B43" s="57">
        <f t="shared" si="3"/>
        <v>1686.8130000000001</v>
      </c>
      <c r="C43" s="64">
        <f>[1]tab8!C90/1000</f>
        <v>22123.409</v>
      </c>
      <c r="D43" s="64">
        <f>[1]tab8!D90/1000</f>
        <v>318.704386989618</v>
      </c>
      <c r="E43" s="56">
        <f>+B43+C43+D43</f>
        <v>24128.92638698962</v>
      </c>
      <c r="F43" s="57"/>
      <c r="G43" s="57">
        <f>+J43-I43</f>
        <v>19861.663646747144</v>
      </c>
      <c r="H43" s="64">
        <f>[1]tab8!H90/1000</f>
        <v>6200.3</v>
      </c>
      <c r="I43" s="64">
        <f>[1]tab8!I90/1000</f>
        <v>2556.3087402424744</v>
      </c>
      <c r="J43" s="57">
        <f>+E43-K43</f>
        <v>22417.972386989619</v>
      </c>
      <c r="K43" s="64">
        <f>[1]tab8!K89/1000</f>
        <v>1710.954</v>
      </c>
      <c r="L43" s="60">
        <v>32.479999999999997</v>
      </c>
    </row>
    <row r="44" spans="1:12" x14ac:dyDescent="0.2">
      <c r="A44" s="45" t="s">
        <v>151</v>
      </c>
      <c r="B44" s="61">
        <f t="shared" si="3"/>
        <v>1710.954</v>
      </c>
      <c r="C44" s="62">
        <v>22640</v>
      </c>
      <c r="D44" s="62">
        <v>300</v>
      </c>
      <c r="E44" s="61">
        <f>+B44+C44+D44</f>
        <v>24650.954000000002</v>
      </c>
      <c r="F44" s="61"/>
      <c r="G44" s="61">
        <f>+J44-I44</f>
        <v>21000</v>
      </c>
      <c r="H44" s="62">
        <v>7200</v>
      </c>
      <c r="I44" s="62">
        <v>1900</v>
      </c>
      <c r="J44" s="61">
        <v>22900</v>
      </c>
      <c r="K44" s="62">
        <v>1751</v>
      </c>
      <c r="L44" s="63" t="s">
        <v>152</v>
      </c>
    </row>
    <row r="45" spans="1:12" ht="13.15" customHeight="1" x14ac:dyDescent="0.2">
      <c r="A45" s="28" t="s">
        <v>153</v>
      </c>
    </row>
    <row r="46" spans="1:12" ht="13.15" customHeight="1" x14ac:dyDescent="0.2">
      <c r="A46" s="28" t="s">
        <v>154</v>
      </c>
    </row>
    <row r="47" spans="1:12" ht="13.15" customHeight="1" x14ac:dyDescent="0.2">
      <c r="A47" s="50" t="s">
        <v>155</v>
      </c>
    </row>
    <row r="48" spans="1:12" x14ac:dyDescent="0.2">
      <c r="A48" t="s">
        <v>156</v>
      </c>
      <c r="L48" s="51" t="s">
        <v>47</v>
      </c>
    </row>
  </sheetData>
  <pageMargins left="0.7" right="0.7" top="0.75" bottom="0.75" header="0.3" footer="0.3"/>
  <pageSetup scale="81" firstPageNumber="32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40"/>
  <sheetViews>
    <sheetView zoomScaleNormal="100" zoomScaleSheetLayoutView="75" workbookViewId="0">
      <pane xSplit="1" ySplit="6" topLeftCell="B103" activePane="bottomRight" state="frozen"/>
      <selection pane="topRight" activeCell="B1" sqref="B1"/>
      <selection pane="bottomLeft" activeCell="A7" sqref="A7"/>
      <selection pane="bottomRight"/>
    </sheetView>
  </sheetViews>
  <sheetFormatPr defaultRowHeight="11.25" x14ac:dyDescent="0.2"/>
  <cols>
    <col min="1" max="1" width="12.33203125" customWidth="1"/>
    <col min="2" max="3" width="16.83203125" customWidth="1"/>
    <col min="4" max="4" width="15.6640625" customWidth="1"/>
    <col min="5" max="5" width="16.83203125" customWidth="1"/>
    <col min="6" max="8" width="15.6640625" customWidth="1"/>
    <col min="9" max="10" width="16.83203125" customWidth="1"/>
  </cols>
  <sheetData>
    <row r="1" spans="1:10" x14ac:dyDescent="0.2">
      <c r="A1" s="32" t="s">
        <v>11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x14ac:dyDescent="0.2">
      <c r="B2" s="18"/>
      <c r="C2" s="78" t="s">
        <v>107</v>
      </c>
      <c r="D2" s="18"/>
      <c r="E2" s="18"/>
      <c r="F2" s="18"/>
      <c r="G2" s="66" t="s">
        <v>108</v>
      </c>
      <c r="H2" s="18"/>
      <c r="I2" s="18"/>
    </row>
    <row r="3" spans="1:10" x14ac:dyDescent="0.2">
      <c r="A3" t="s">
        <v>157</v>
      </c>
      <c r="B3" s="79" t="s">
        <v>111</v>
      </c>
      <c r="C3" s="33"/>
      <c r="D3" s="33"/>
      <c r="E3" s="33"/>
      <c r="F3" s="33"/>
      <c r="G3" s="33"/>
      <c r="H3" s="33"/>
      <c r="I3" s="33"/>
      <c r="J3" s="80" t="s">
        <v>113</v>
      </c>
    </row>
    <row r="4" spans="1:10" x14ac:dyDescent="0.2">
      <c r="A4" t="s">
        <v>110</v>
      </c>
      <c r="B4" s="80" t="s">
        <v>116</v>
      </c>
      <c r="C4" s="7" t="s">
        <v>52</v>
      </c>
      <c r="D4" s="33" t="s">
        <v>117</v>
      </c>
      <c r="E4" s="81" t="s">
        <v>158</v>
      </c>
      <c r="F4" s="81" t="s">
        <v>119</v>
      </c>
      <c r="G4" s="80" t="s">
        <v>120</v>
      </c>
      <c r="H4" s="79" t="s">
        <v>159</v>
      </c>
      <c r="I4" s="81" t="s">
        <v>158</v>
      </c>
      <c r="J4" s="80" t="s">
        <v>116</v>
      </c>
    </row>
    <row r="5" spans="1:10" x14ac:dyDescent="0.2">
      <c r="A5" s="16" t="s">
        <v>160</v>
      </c>
      <c r="B5" s="16"/>
      <c r="C5" s="16"/>
      <c r="D5" s="16"/>
      <c r="E5" s="16"/>
      <c r="F5" s="16"/>
      <c r="G5" s="16"/>
      <c r="H5" s="82" t="s">
        <v>161</v>
      </c>
      <c r="I5" s="16"/>
      <c r="J5" s="16"/>
    </row>
    <row r="6" spans="1:10" x14ac:dyDescent="0.2">
      <c r="C6" s="37"/>
      <c r="D6" s="37"/>
      <c r="E6" s="37"/>
      <c r="F6" s="37" t="s">
        <v>22</v>
      </c>
      <c r="G6" s="37"/>
      <c r="H6" s="37"/>
      <c r="I6" s="37"/>
      <c r="J6" s="37"/>
    </row>
    <row r="7" spans="1:10" x14ac:dyDescent="0.2">
      <c r="A7" t="s">
        <v>28</v>
      </c>
      <c r="B7" s="83"/>
      <c r="C7" s="83"/>
      <c r="D7" s="83"/>
      <c r="E7" s="83"/>
      <c r="F7" s="83"/>
      <c r="G7" s="83"/>
      <c r="H7" s="83"/>
      <c r="I7" s="83"/>
      <c r="J7" s="83"/>
    </row>
    <row r="8" spans="1:10" x14ac:dyDescent="0.2">
      <c r="A8" t="s">
        <v>162</v>
      </c>
      <c r="B8" s="83">
        <v>290162</v>
      </c>
      <c r="C8" s="83">
        <v>2757810</v>
      </c>
      <c r="D8" s="83">
        <v>901.03367784990019</v>
      </c>
      <c r="E8" s="83">
        <f>SUM(B8:D8)</f>
        <v>3048873.0336778499</v>
      </c>
      <c r="F8" s="83">
        <v>421136.66666666669</v>
      </c>
      <c r="G8" s="83">
        <v>315767.60487929999</v>
      </c>
      <c r="H8" s="83">
        <f>I8-F8-G8</f>
        <v>71977.762131883239</v>
      </c>
      <c r="I8" s="83">
        <f>E8-J8</f>
        <v>808882.03367784992</v>
      </c>
      <c r="J8" s="83">
        <f>[1]tab01!D10</f>
        <v>2239991</v>
      </c>
    </row>
    <row r="9" spans="1:10" x14ac:dyDescent="0.2">
      <c r="A9" t="s">
        <v>163</v>
      </c>
      <c r="B9" s="83">
        <f>J8</f>
        <v>2239991</v>
      </c>
      <c r="C9" s="77" t="s">
        <v>150</v>
      </c>
      <c r="D9" s="83">
        <v>800.01951453269999</v>
      </c>
      <c r="E9" s="83">
        <f>SUM(B9:D9)</f>
        <v>2240791.0195145328</v>
      </c>
      <c r="F9" s="83">
        <v>417936.66666666663</v>
      </c>
      <c r="G9" s="83">
        <v>336291.09246390004</v>
      </c>
      <c r="H9" s="83">
        <f>I9-F9-G9</f>
        <v>82655.260383966088</v>
      </c>
      <c r="I9" s="83">
        <f>E9-J9</f>
        <v>836883.01951453276</v>
      </c>
      <c r="J9" s="83">
        <f>[1]tab01!D11</f>
        <v>1403908</v>
      </c>
    </row>
    <row r="10" spans="1:10" x14ac:dyDescent="0.2">
      <c r="A10" t="s">
        <v>164</v>
      </c>
      <c r="B10" s="83">
        <f>J9</f>
        <v>1403908</v>
      </c>
      <c r="C10" s="77" t="s">
        <v>150</v>
      </c>
      <c r="D10" s="83">
        <v>813.36670030139999</v>
      </c>
      <c r="E10" s="83">
        <f>SUM(B10:D10)</f>
        <v>1404721.3667003014</v>
      </c>
      <c r="F10" s="83">
        <v>405486.66666666669</v>
      </c>
      <c r="G10" s="83">
        <v>227730.25083480001</v>
      </c>
      <c r="H10" s="83">
        <f>I10-F10-G10</f>
        <v>63324.449198834714</v>
      </c>
      <c r="I10" s="83">
        <f>E10-J10</f>
        <v>696541.36670030141</v>
      </c>
      <c r="J10" s="83">
        <f>[1]tab01!D12</f>
        <v>708180</v>
      </c>
    </row>
    <row r="11" spans="1:10" x14ac:dyDescent="0.2">
      <c r="A11" t="s">
        <v>165</v>
      </c>
      <c r="B11" s="83">
        <f>J10</f>
        <v>708180</v>
      </c>
      <c r="C11" s="77" t="s">
        <v>150</v>
      </c>
      <c r="D11" s="83">
        <v>1053.4054292496</v>
      </c>
      <c r="E11" s="83">
        <f>SUM(B11:D11)</f>
        <v>709233.40542924963</v>
      </c>
      <c r="F11" s="83">
        <v>395110</v>
      </c>
      <c r="G11" s="83">
        <v>116082.24027540002</v>
      </c>
      <c r="H11" s="83">
        <f>I11-F11-G11</f>
        <v>-49705.834846150392</v>
      </c>
      <c r="I11" s="83">
        <f>E11-J11</f>
        <v>461486.40542924963</v>
      </c>
      <c r="J11" s="83">
        <f>[1]tab01!D13</f>
        <v>247747</v>
      </c>
    </row>
    <row r="12" spans="1:10" x14ac:dyDescent="0.2">
      <c r="A12" t="s">
        <v>166</v>
      </c>
      <c r="B12" s="83"/>
      <c r="C12" s="83">
        <f>SUM(C8:C11)</f>
        <v>2757810</v>
      </c>
      <c r="D12" s="83">
        <f>SUM(D8:D11)</f>
        <v>3567.8253219336002</v>
      </c>
      <c r="E12" s="83">
        <f>B8+D12+C12</f>
        <v>3051539.8253219337</v>
      </c>
      <c r="F12" s="83">
        <f>SUM(F8:F11)</f>
        <v>1639670</v>
      </c>
      <c r="G12" s="83">
        <f>SUM(G8:G11)</f>
        <v>995871.18845340004</v>
      </c>
      <c r="H12" s="83">
        <f>SUM(H8:H11)</f>
        <v>168251.63686853365</v>
      </c>
      <c r="I12" s="83">
        <f>SUM(I8:I11)</f>
        <v>2803792.8253219337</v>
      </c>
      <c r="J12" s="83"/>
    </row>
    <row r="13" spans="1:10" x14ac:dyDescent="0.2">
      <c r="B13" s="83"/>
      <c r="C13" s="83"/>
      <c r="D13" s="83"/>
      <c r="E13" s="83"/>
      <c r="F13" s="83"/>
      <c r="G13" s="83"/>
      <c r="H13" s="83"/>
      <c r="I13" s="83"/>
      <c r="J13" s="83"/>
    </row>
    <row r="14" spans="1:10" x14ac:dyDescent="0.2">
      <c r="A14" t="s">
        <v>29</v>
      </c>
      <c r="B14" s="83"/>
      <c r="C14" s="83"/>
      <c r="D14" s="83"/>
      <c r="E14" s="83"/>
      <c r="F14" s="83"/>
      <c r="G14" s="83"/>
      <c r="H14" s="83"/>
      <c r="I14" s="83"/>
      <c r="J14" s="83"/>
    </row>
    <row r="15" spans="1:10" x14ac:dyDescent="0.2">
      <c r="A15" t="s">
        <v>167</v>
      </c>
      <c r="B15" s="83">
        <f>J11</f>
        <v>247747</v>
      </c>
      <c r="C15" s="83">
        <v>2890682</v>
      </c>
      <c r="D15" s="83">
        <v>845.7440361992999</v>
      </c>
      <c r="E15" s="83">
        <f>SUM(B15:D15)</f>
        <v>3139274.7440361995</v>
      </c>
      <c r="F15" s="83">
        <v>427540</v>
      </c>
      <c r="G15" s="83">
        <v>348619.37543160003</v>
      </c>
      <c r="H15" s="83">
        <f>I15-F15-G15</f>
        <v>87497.368604599498</v>
      </c>
      <c r="I15" s="83">
        <f>E15-J15</f>
        <v>863656.74403619952</v>
      </c>
      <c r="J15" s="83">
        <f>[1]tab01!D15</f>
        <v>2275618</v>
      </c>
    </row>
    <row r="16" spans="1:10" x14ac:dyDescent="0.2">
      <c r="A16" t="s">
        <v>168</v>
      </c>
      <c r="B16" s="83">
        <f>J15</f>
        <v>2275618</v>
      </c>
      <c r="C16" s="77" t="s">
        <v>150</v>
      </c>
      <c r="D16" s="83">
        <v>637.56363838650009</v>
      </c>
      <c r="E16" s="83">
        <f>SUM(B16:D16)</f>
        <v>2276255.5636383863</v>
      </c>
      <c r="F16" s="83">
        <v>447596.73333333328</v>
      </c>
      <c r="G16" s="83">
        <v>422449.30020299996</v>
      </c>
      <c r="H16" s="83">
        <f>I16-F16-G16</f>
        <v>70222.530102053075</v>
      </c>
      <c r="I16" s="83">
        <f>E16-J16</f>
        <v>940268.56363838632</v>
      </c>
      <c r="J16" s="83">
        <f>[1]tab01!D16</f>
        <v>1335987</v>
      </c>
    </row>
    <row r="17" spans="1:10" x14ac:dyDescent="0.2">
      <c r="A17" t="s">
        <v>164</v>
      </c>
      <c r="B17" s="83">
        <f>J16</f>
        <v>1335987</v>
      </c>
      <c r="C17" s="77" t="s">
        <v>150</v>
      </c>
      <c r="D17" s="83">
        <v>461.73753817170001</v>
      </c>
      <c r="E17" s="83">
        <f>SUM(B17:D17)</f>
        <v>1336448.7375381717</v>
      </c>
      <c r="F17" s="83">
        <v>429615.9</v>
      </c>
      <c r="G17" s="83">
        <v>155298.12989879999</v>
      </c>
      <c r="H17" s="83">
        <f>I17-F17-G17</f>
        <v>66613.707639371685</v>
      </c>
      <c r="I17" s="83">
        <f>E17-J17</f>
        <v>651527.7375381717</v>
      </c>
      <c r="J17" s="83">
        <f>[1]tab01!D17</f>
        <v>684921</v>
      </c>
    </row>
    <row r="18" spans="1:10" x14ac:dyDescent="0.2">
      <c r="A18" t="s">
        <v>165</v>
      </c>
      <c r="B18" s="83">
        <f>J17</f>
        <v>684921</v>
      </c>
      <c r="C18" s="77" t="s">
        <v>150</v>
      </c>
      <c r="D18" s="83">
        <v>374.72915470199996</v>
      </c>
      <c r="E18" s="83">
        <f>SUM(B18:D18)</f>
        <v>685295.72915470204</v>
      </c>
      <c r="F18" s="83">
        <v>394988.16666666669</v>
      </c>
      <c r="G18" s="83">
        <v>137284.64120490002</v>
      </c>
      <c r="H18" s="83">
        <f>I18-F18-G18</f>
        <v>-55038.078716864664</v>
      </c>
      <c r="I18" s="83">
        <f>E18-J18</f>
        <v>477234.72915470204</v>
      </c>
      <c r="J18" s="83">
        <f>[1]tab01!D18</f>
        <v>208061</v>
      </c>
    </row>
    <row r="19" spans="1:10" x14ac:dyDescent="0.2">
      <c r="A19" t="s">
        <v>166</v>
      </c>
      <c r="B19" s="83"/>
      <c r="C19" s="83">
        <f>SUM(C15:C18)</f>
        <v>2890682</v>
      </c>
      <c r="D19" s="83">
        <f>SUM(D15:D18)</f>
        <v>2319.7743674594999</v>
      </c>
      <c r="E19" s="83">
        <f>B15+D19+C19</f>
        <v>3140748.7743674596</v>
      </c>
      <c r="F19" s="83">
        <f>SUM(F15:F18)</f>
        <v>1699740.8</v>
      </c>
      <c r="G19" s="83">
        <f>SUM(G15:G18)</f>
        <v>1063651.4467383001</v>
      </c>
      <c r="H19" s="83">
        <f>SUM(H15:H18)</f>
        <v>169295.52762915959</v>
      </c>
      <c r="I19" s="83">
        <f>SUM(I15:I18)</f>
        <v>2932687.77436746</v>
      </c>
      <c r="J19" s="83"/>
    </row>
    <row r="20" spans="1:10" x14ac:dyDescent="0.2">
      <c r="B20" s="83"/>
      <c r="C20" s="83"/>
      <c r="D20" s="83"/>
      <c r="E20" s="83"/>
      <c r="F20" s="83"/>
      <c r="G20" s="83"/>
      <c r="H20" s="83"/>
      <c r="I20" s="83"/>
      <c r="J20" s="83"/>
    </row>
    <row r="21" spans="1:10" x14ac:dyDescent="0.2">
      <c r="A21" t="s">
        <v>30</v>
      </c>
      <c r="B21" s="83"/>
      <c r="C21" s="83"/>
      <c r="D21" s="83"/>
      <c r="E21" s="83"/>
      <c r="F21" s="83"/>
      <c r="G21" s="83"/>
      <c r="H21" s="83"/>
      <c r="I21" s="83"/>
      <c r="J21" s="83"/>
    </row>
    <row r="22" spans="1:10" x14ac:dyDescent="0.2">
      <c r="A22" t="s">
        <v>167</v>
      </c>
      <c r="B22" s="83">
        <f>J18</f>
        <v>208061</v>
      </c>
      <c r="C22" s="83">
        <v>2756147</v>
      </c>
      <c r="D22" s="83">
        <v>1412.6551980156</v>
      </c>
      <c r="E22" s="83">
        <f>SUM(B22:D22)</f>
        <v>2965620.6551980157</v>
      </c>
      <c r="F22" s="83">
        <v>417505.5</v>
      </c>
      <c r="G22" s="83">
        <v>320403.85145790002</v>
      </c>
      <c r="H22" s="83">
        <f>I22-F22-G22</f>
        <v>112338.30374011572</v>
      </c>
      <c r="I22" s="83">
        <f>E22-J22</f>
        <v>850247.65519801574</v>
      </c>
      <c r="J22" s="83">
        <f>[1]tab01!D20</f>
        <v>2115373</v>
      </c>
    </row>
    <row r="23" spans="1:10" x14ac:dyDescent="0.2">
      <c r="A23" t="s">
        <v>168</v>
      </c>
      <c r="B23" s="83">
        <f>J22</f>
        <v>2115373</v>
      </c>
      <c r="C23" s="77" t="s">
        <v>150</v>
      </c>
      <c r="D23" s="83">
        <v>1094.9477462385</v>
      </c>
      <c r="E23" s="83">
        <f>SUM(B23:D23)</f>
        <v>2116467.9477462387</v>
      </c>
      <c r="F23" s="83">
        <v>422028.2</v>
      </c>
      <c r="G23" s="83">
        <v>425471.32255320007</v>
      </c>
      <c r="H23" s="83">
        <f>I23-F23-G23</f>
        <v>66940.425193038594</v>
      </c>
      <c r="I23" s="83">
        <f>E23-J23</f>
        <v>914439.94774623867</v>
      </c>
      <c r="J23" s="83">
        <f>[1]tab01!D21</f>
        <v>1202028</v>
      </c>
    </row>
    <row r="24" spans="1:10" x14ac:dyDescent="0.2">
      <c r="A24" t="s">
        <v>164</v>
      </c>
      <c r="B24" s="83">
        <f>J23</f>
        <v>1202028</v>
      </c>
      <c r="C24" s="77" t="s">
        <v>150</v>
      </c>
      <c r="D24" s="83">
        <v>1242.2369620794</v>
      </c>
      <c r="E24" s="83">
        <f>SUM(B24:D24)</f>
        <v>1203270.2369620793</v>
      </c>
      <c r="F24" s="83">
        <v>399520</v>
      </c>
      <c r="G24" s="83">
        <v>194410.18182599999</v>
      </c>
      <c r="H24" s="83">
        <f>I24-F24-G24</f>
        <v>6978.0551360793179</v>
      </c>
      <c r="I24" s="83">
        <f>E24-J24</f>
        <v>600908.2369620793</v>
      </c>
      <c r="J24" s="83">
        <f>[1]tab01!D22</f>
        <v>602362</v>
      </c>
    </row>
    <row r="25" spans="1:10" x14ac:dyDescent="0.2">
      <c r="A25" t="s">
        <v>165</v>
      </c>
      <c r="B25" s="83">
        <f>J24</f>
        <v>602362</v>
      </c>
      <c r="C25" s="77" t="s">
        <v>150</v>
      </c>
      <c r="D25" s="83">
        <v>911.13834232470003</v>
      </c>
      <c r="E25" s="83">
        <f>SUM(B25:D25)</f>
        <v>603273.13834232464</v>
      </c>
      <c r="F25" s="83">
        <v>375733.73333333334</v>
      </c>
      <c r="G25" s="83">
        <v>104086.74499860001</v>
      </c>
      <c r="H25" s="83">
        <f>I25-F25-G25</f>
        <v>-54876.339989608707</v>
      </c>
      <c r="I25" s="83">
        <f>E25-J25</f>
        <v>424944.13834232464</v>
      </c>
      <c r="J25" s="83">
        <f>[1]tab01!D23</f>
        <v>178329</v>
      </c>
    </row>
    <row r="26" spans="1:10" x14ac:dyDescent="0.2">
      <c r="A26" t="s">
        <v>169</v>
      </c>
      <c r="B26" s="83"/>
      <c r="C26" s="83">
        <f>SUM(C22:C25)</f>
        <v>2756147</v>
      </c>
      <c r="D26" s="83">
        <f>SUM(D22:D25)</f>
        <v>4660.9782486581998</v>
      </c>
      <c r="E26" s="83">
        <f>B22+D26+C26</f>
        <v>2968868.9782486581</v>
      </c>
      <c r="F26" s="83">
        <f>SUM(F22:F25)</f>
        <v>1614787.4333333333</v>
      </c>
      <c r="G26" s="83">
        <f>SUM(G22:G25)</f>
        <v>1044372.1008357001</v>
      </c>
      <c r="H26" s="83">
        <f>SUM(H22:H25)</f>
        <v>131380.44407962493</v>
      </c>
      <c r="I26" s="83">
        <f>SUM(I22:I25)</f>
        <v>2790539.9782486586</v>
      </c>
      <c r="J26" s="83"/>
    </row>
    <row r="27" spans="1:10" x14ac:dyDescent="0.2">
      <c r="B27" s="83"/>
      <c r="C27" s="83"/>
      <c r="D27" s="83"/>
      <c r="E27" s="83"/>
      <c r="F27" s="83"/>
      <c r="G27" s="83"/>
      <c r="H27" s="83"/>
      <c r="I27" s="83"/>
      <c r="J27" s="83"/>
    </row>
    <row r="28" spans="1:10" x14ac:dyDescent="0.2">
      <c r="A28" t="s">
        <v>31</v>
      </c>
      <c r="B28" s="83"/>
      <c r="C28" s="83"/>
      <c r="D28" s="83"/>
      <c r="E28" s="83"/>
      <c r="F28" s="83"/>
      <c r="G28" s="83"/>
      <c r="H28" s="83"/>
      <c r="I28" s="83"/>
      <c r="J28" s="83"/>
    </row>
    <row r="29" spans="1:10" x14ac:dyDescent="0.2">
      <c r="A29" t="s">
        <v>167</v>
      </c>
      <c r="B29" s="83">
        <f>J25</f>
        <v>178329</v>
      </c>
      <c r="C29" s="83">
        <v>2453845</v>
      </c>
      <c r="D29" s="83">
        <v>2246.2969250022002</v>
      </c>
      <c r="E29" s="83">
        <f>SUM(B29:D29)</f>
        <v>2634420.2969250022</v>
      </c>
      <c r="F29" s="83">
        <v>419401.43333333335</v>
      </c>
      <c r="G29" s="83">
        <v>383501.30889630003</v>
      </c>
      <c r="H29" s="83">
        <f>I29-F29-G29</f>
        <v>142864.55469536886</v>
      </c>
      <c r="I29" s="83">
        <f>E29-J29</f>
        <v>945767.29692500224</v>
      </c>
      <c r="J29" s="83">
        <f>[1]tab01!D25</f>
        <v>1688653</v>
      </c>
    </row>
    <row r="30" spans="1:10" x14ac:dyDescent="0.2">
      <c r="A30" t="s">
        <v>168</v>
      </c>
      <c r="B30" s="83">
        <f>J29</f>
        <v>1688653</v>
      </c>
      <c r="C30" s="77" t="s">
        <v>150</v>
      </c>
      <c r="D30" s="83">
        <v>1383.1406372720999</v>
      </c>
      <c r="E30" s="83">
        <f>SUM(B30:D30)</f>
        <v>1690036.140637272</v>
      </c>
      <c r="F30" s="83">
        <v>423116.96666666667</v>
      </c>
      <c r="G30" s="83">
        <v>333885.59265600005</v>
      </c>
      <c r="H30" s="83">
        <f>I30-F30-G30</f>
        <v>27186.581314605311</v>
      </c>
      <c r="I30" s="83">
        <f>E30-J30</f>
        <v>784189.14063727204</v>
      </c>
      <c r="J30" s="83">
        <f>[1]tab01!D26</f>
        <v>905847</v>
      </c>
    </row>
    <row r="31" spans="1:10" x14ac:dyDescent="0.2">
      <c r="A31" t="s">
        <v>164</v>
      </c>
      <c r="B31" s="83">
        <f>J30</f>
        <v>905847</v>
      </c>
      <c r="C31" s="77" t="s">
        <v>150</v>
      </c>
      <c r="D31" s="83">
        <v>994.09903980240006</v>
      </c>
      <c r="E31" s="83">
        <f>SUM(B31:D31)</f>
        <v>906841.09903980244</v>
      </c>
      <c r="F31" s="83">
        <v>359570.86666666664</v>
      </c>
      <c r="G31" s="83">
        <v>123367.22995590001</v>
      </c>
      <c r="H31" s="83">
        <f>I31-F31-G31</f>
        <v>13299.002417235795</v>
      </c>
      <c r="I31" s="83">
        <f>E31-J31</f>
        <v>496237.09903980244</v>
      </c>
      <c r="J31" s="83">
        <f>[1]tab01!D27</f>
        <v>410604</v>
      </c>
    </row>
    <row r="32" spans="1:10" x14ac:dyDescent="0.2">
      <c r="A32" t="s">
        <v>165</v>
      </c>
      <c r="B32" s="83">
        <f>J31</f>
        <v>410604</v>
      </c>
      <c r="C32" s="77" t="s">
        <v>150</v>
      </c>
      <c r="D32" s="83">
        <v>938.01691003020005</v>
      </c>
      <c r="E32" s="83">
        <f>SUM(B32:D32)</f>
        <v>411542.01691003022</v>
      </c>
      <c r="F32" s="83">
        <v>327609.46666666667</v>
      </c>
      <c r="G32" s="83">
        <v>45796.429087500008</v>
      </c>
      <c r="H32" s="83">
        <f>I32-F32-G32</f>
        <v>-74277.87884413646</v>
      </c>
      <c r="I32" s="83">
        <f>E32-J32</f>
        <v>299128.01691003022</v>
      </c>
      <c r="J32" s="83">
        <f>[1]tab01!D28</f>
        <v>112414</v>
      </c>
    </row>
    <row r="33" spans="1:10" x14ac:dyDescent="0.2">
      <c r="A33" t="s">
        <v>169</v>
      </c>
      <c r="B33" s="83"/>
      <c r="C33" s="83">
        <f>SUM(C29:C32)</f>
        <v>2453845</v>
      </c>
      <c r="D33" s="83">
        <f>SUM(D29:D32)</f>
        <v>5561.5535121068997</v>
      </c>
      <c r="E33" s="83">
        <f>B29+D33+C33</f>
        <v>2637735.5535121071</v>
      </c>
      <c r="F33" s="83">
        <f>SUM(F29:F32)</f>
        <v>1529698.7333333334</v>
      </c>
      <c r="G33" s="83">
        <f>SUM(G29:G32)</f>
        <v>886550.56059570005</v>
      </c>
      <c r="H33" s="83">
        <f>SUM(H29:H32)</f>
        <v>109072.25958307352</v>
      </c>
      <c r="I33" s="83">
        <f>SUM(I29:I32)</f>
        <v>2525321.5535121066</v>
      </c>
      <c r="J33" s="83"/>
    </row>
    <row r="34" spans="1:10" x14ac:dyDescent="0.2">
      <c r="B34" s="83"/>
      <c r="C34" s="83"/>
      <c r="D34" s="83"/>
      <c r="E34" s="83"/>
      <c r="F34" s="83"/>
      <c r="G34" s="83"/>
      <c r="H34" s="83"/>
      <c r="I34" s="83"/>
      <c r="J34" s="83"/>
    </row>
    <row r="35" spans="1:10" x14ac:dyDescent="0.2">
      <c r="A35" t="s">
        <v>32</v>
      </c>
      <c r="B35" s="83"/>
      <c r="C35" s="83"/>
      <c r="D35" s="83"/>
      <c r="E35" s="83"/>
      <c r="F35" s="83"/>
      <c r="G35" s="83"/>
      <c r="H35" s="83"/>
      <c r="I35" s="83"/>
      <c r="J35" s="83"/>
    </row>
    <row r="36" spans="1:10" x14ac:dyDescent="0.2">
      <c r="A36" t="s">
        <v>167</v>
      </c>
      <c r="B36" s="83">
        <f>J32</f>
        <v>112414</v>
      </c>
      <c r="C36" s="83">
        <v>3123790</v>
      </c>
      <c r="D36" s="83">
        <v>970.57274682270008</v>
      </c>
      <c r="E36" s="83">
        <f>SUM(B36:D36)</f>
        <v>3237174.5727468226</v>
      </c>
      <c r="F36" s="83">
        <v>427364.03333333333</v>
      </c>
      <c r="G36" s="83">
        <v>405776.25842880004</v>
      </c>
      <c r="H36" s="83">
        <f>I36-F36-G36</f>
        <v>99394.280984689249</v>
      </c>
      <c r="I36" s="83">
        <f>E36-J36</f>
        <v>932534.57274682261</v>
      </c>
      <c r="J36" s="83">
        <f>[1]tab01!D30</f>
        <v>2304640</v>
      </c>
    </row>
    <row r="37" spans="1:10" x14ac:dyDescent="0.2">
      <c r="A37" t="s">
        <v>168</v>
      </c>
      <c r="B37" s="83">
        <f>J36</f>
        <v>2304640</v>
      </c>
      <c r="C37" s="77" t="s">
        <v>150</v>
      </c>
      <c r="D37" s="83">
        <v>1377.3180835953001</v>
      </c>
      <c r="E37" s="83">
        <f>SUM(B37:D37)</f>
        <v>2306017.3180835955</v>
      </c>
      <c r="F37" s="83">
        <v>436184.80000000005</v>
      </c>
      <c r="G37" s="83">
        <v>410684.18792520004</v>
      </c>
      <c r="H37" s="83">
        <f>I37-F37-G37</f>
        <v>77784.330158395402</v>
      </c>
      <c r="I37" s="83">
        <f>E37-J37</f>
        <v>924653.31808359548</v>
      </c>
      <c r="J37" s="83">
        <f>[1]tab01!D31</f>
        <v>1381364</v>
      </c>
    </row>
    <row r="38" spans="1:10" x14ac:dyDescent="0.2">
      <c r="A38" t="s">
        <v>164</v>
      </c>
      <c r="B38" s="83">
        <f>J37</f>
        <v>1381364</v>
      </c>
      <c r="C38" s="77" t="s">
        <v>150</v>
      </c>
      <c r="D38" s="83">
        <v>969.65595476399994</v>
      </c>
      <c r="E38" s="83">
        <f>SUM(B38:D38)</f>
        <v>1382333.655954764</v>
      </c>
      <c r="F38" s="83">
        <v>430721.9</v>
      </c>
      <c r="G38" s="83">
        <v>197913.1792092</v>
      </c>
      <c r="H38" s="83">
        <f>I38-F38-G38</f>
        <v>54424.576745563973</v>
      </c>
      <c r="I38" s="83">
        <f>E38-J38</f>
        <v>683059.65595476399</v>
      </c>
      <c r="J38" s="83">
        <f>[1]tab01!D32</f>
        <v>699274</v>
      </c>
    </row>
    <row r="39" spans="1:10" x14ac:dyDescent="0.2">
      <c r="A39" t="s">
        <v>165</v>
      </c>
      <c r="B39" s="83">
        <f>J38</f>
        <v>699274</v>
      </c>
      <c r="C39" s="77" t="s">
        <v>150</v>
      </c>
      <c r="D39" s="83">
        <v>2260.0176839688002</v>
      </c>
      <c r="E39" s="83">
        <f>SUM(B39:D39)</f>
        <v>701534.01768396876</v>
      </c>
      <c r="F39" s="83">
        <v>401810.49999999994</v>
      </c>
      <c r="G39" s="83">
        <v>82782.674251200006</v>
      </c>
      <c r="H39" s="83">
        <f>I39-F39-G39</f>
        <v>-38797.156567231184</v>
      </c>
      <c r="I39" s="83">
        <f>E39-J39</f>
        <v>445796.01768396876</v>
      </c>
      <c r="J39" s="83">
        <f>[1]tab01!D33</f>
        <v>255738</v>
      </c>
    </row>
    <row r="40" spans="1:10" x14ac:dyDescent="0.2">
      <c r="A40" t="s">
        <v>169</v>
      </c>
      <c r="B40" s="83"/>
      <c r="C40" s="83">
        <f>SUM(C36:C39)</f>
        <v>3123790</v>
      </c>
      <c r="D40" s="83">
        <f>SUM(D36:D39)</f>
        <v>5577.5644691508005</v>
      </c>
      <c r="E40" s="83">
        <f>B36+D40+C40</f>
        <v>3241781.5644691507</v>
      </c>
      <c r="F40" s="83">
        <f>SUM(F36:F39)</f>
        <v>1696081.2333333334</v>
      </c>
      <c r="G40" s="83">
        <f>SUM(G36:G39)</f>
        <v>1097156.2998144</v>
      </c>
      <c r="H40" s="83">
        <f>SUM(H36:H39)</f>
        <v>192806.03132141742</v>
      </c>
      <c r="I40" s="83">
        <f>SUM(I36:I39)</f>
        <v>2986043.5644691512</v>
      </c>
      <c r="J40" s="83"/>
    </row>
    <row r="41" spans="1:10" x14ac:dyDescent="0.2">
      <c r="B41" s="83"/>
      <c r="C41" s="83"/>
      <c r="D41" s="83"/>
      <c r="E41" s="83"/>
      <c r="F41" s="83"/>
      <c r="G41" s="83"/>
      <c r="H41" s="83"/>
      <c r="I41" s="83"/>
      <c r="J41" s="83"/>
    </row>
    <row r="42" spans="1:10" x14ac:dyDescent="0.2">
      <c r="A42" t="s">
        <v>33</v>
      </c>
      <c r="B42" s="83"/>
      <c r="C42" s="83"/>
      <c r="D42" s="83"/>
      <c r="E42" s="83"/>
      <c r="F42" s="83"/>
      <c r="G42" s="83"/>
      <c r="H42" s="83"/>
      <c r="I42" s="83"/>
      <c r="J42" s="83"/>
    </row>
    <row r="43" spans="1:10" x14ac:dyDescent="0.2">
      <c r="A43" t="s">
        <v>167</v>
      </c>
      <c r="B43" s="83">
        <f>J39</f>
        <v>255738</v>
      </c>
      <c r="C43" s="83">
        <v>3068342</v>
      </c>
      <c r="D43" s="83">
        <v>587.62468781730001</v>
      </c>
      <c r="E43" s="83">
        <f>SUM(B43:D43)</f>
        <v>3324667.6246878174</v>
      </c>
      <c r="F43" s="83">
        <v>442350.63333333342</v>
      </c>
      <c r="G43" s="83">
        <v>312634.2123744</v>
      </c>
      <c r="H43" s="83">
        <f>I43-F43-G43</f>
        <v>68256.778980083996</v>
      </c>
      <c r="I43" s="83">
        <f>E43-J43</f>
        <v>823241.62468781741</v>
      </c>
      <c r="J43" s="83">
        <f>[1]tab01!D35</f>
        <v>2501426</v>
      </c>
    </row>
    <row r="44" spans="1:10" x14ac:dyDescent="0.2">
      <c r="A44" t="s">
        <v>168</v>
      </c>
      <c r="B44" s="83">
        <f>J43</f>
        <v>2501426</v>
      </c>
      <c r="C44" s="77" t="s">
        <v>150</v>
      </c>
      <c r="D44" s="83">
        <v>777.73802462160006</v>
      </c>
      <c r="E44" s="83">
        <f>SUM(B44:D44)</f>
        <v>2502203.7380246217</v>
      </c>
      <c r="F44" s="83">
        <v>437154.7</v>
      </c>
      <c r="G44" s="83">
        <v>305219.62766400003</v>
      </c>
      <c r="H44" s="83">
        <f>I44-F44-G44</f>
        <v>90623.410360621696</v>
      </c>
      <c r="I44" s="83">
        <f>E44-J44</f>
        <v>832997.73802462174</v>
      </c>
      <c r="J44" s="83">
        <f>[1]tab01!D36</f>
        <v>1669206</v>
      </c>
    </row>
    <row r="45" spans="1:10" x14ac:dyDescent="0.2">
      <c r="A45" t="s">
        <v>164</v>
      </c>
      <c r="B45" s="83">
        <f>J44</f>
        <v>1669206</v>
      </c>
      <c r="C45" s="77" t="s">
        <v>150</v>
      </c>
      <c r="D45" s="83">
        <v>956.18894778959998</v>
      </c>
      <c r="E45" s="83">
        <f>SUM(B45:D45)</f>
        <v>1670162.1889477896</v>
      </c>
      <c r="F45" s="83">
        <v>431251.76666666672</v>
      </c>
      <c r="G45" s="83">
        <v>184313.4172467</v>
      </c>
      <c r="H45" s="83">
        <f>I45-F45-G45</f>
        <v>63898.00503442288</v>
      </c>
      <c r="I45" s="83">
        <f>E45-J45</f>
        <v>679463.1889477896</v>
      </c>
      <c r="J45" s="83">
        <f>[1]tab01!D37</f>
        <v>990699</v>
      </c>
    </row>
    <row r="46" spans="1:10" x14ac:dyDescent="0.2">
      <c r="A46" t="s">
        <v>165</v>
      </c>
      <c r="B46" s="83">
        <f>J45</f>
        <v>990699</v>
      </c>
      <c r="C46" s="77" t="s">
        <v>150</v>
      </c>
      <c r="D46" s="83">
        <v>1050.4569310431002</v>
      </c>
      <c r="E46" s="83">
        <f>SUM(B46:D46)</f>
        <v>991749.45693104307</v>
      </c>
      <c r="F46" s="83">
        <v>428094.6333333333</v>
      </c>
      <c r="G46" s="83">
        <v>137711.49276779999</v>
      </c>
      <c r="H46" s="83">
        <f>I46-F46-G46</f>
        <v>-23382.66917009023</v>
      </c>
      <c r="I46" s="83">
        <f>E46-J46</f>
        <v>542423.45693104307</v>
      </c>
      <c r="J46" s="83">
        <f>[1]tab01!D38</f>
        <v>449326</v>
      </c>
    </row>
    <row r="47" spans="1:10" x14ac:dyDescent="0.2">
      <c r="A47" t="s">
        <v>169</v>
      </c>
      <c r="B47" s="83"/>
      <c r="C47" s="83">
        <f>SUM(C43:C46)</f>
        <v>3068342</v>
      </c>
      <c r="D47" s="83">
        <f>SUM(D43:D46)</f>
        <v>3372.0085912715999</v>
      </c>
      <c r="E47" s="83">
        <f>B43+D47+C47</f>
        <v>3327452.0085912715</v>
      </c>
      <c r="F47" s="83">
        <f>SUM(F43:F46)</f>
        <v>1738851.7333333334</v>
      </c>
      <c r="G47" s="83">
        <f>SUM(G43:G46)</f>
        <v>939878.75005290005</v>
      </c>
      <c r="H47" s="83">
        <f>SUM(H43:H46)</f>
        <v>199395.52520503834</v>
      </c>
      <c r="I47" s="83">
        <f>SUM(I43:I46)</f>
        <v>2878126.0085912715</v>
      </c>
      <c r="J47" s="83"/>
    </row>
    <row r="48" spans="1:10" x14ac:dyDescent="0.2">
      <c r="B48" s="83"/>
      <c r="C48" s="83"/>
      <c r="D48" s="83"/>
      <c r="E48" s="83"/>
      <c r="F48" s="83"/>
      <c r="G48" s="83"/>
      <c r="H48" s="83"/>
      <c r="I48" s="83"/>
      <c r="J48" s="83"/>
    </row>
    <row r="49" spans="1:10" x14ac:dyDescent="0.2">
      <c r="A49" t="s">
        <v>34</v>
      </c>
      <c r="B49" s="83"/>
      <c r="C49" s="83"/>
      <c r="D49" s="83"/>
      <c r="E49" s="83"/>
      <c r="F49" s="83"/>
      <c r="G49" s="83"/>
      <c r="H49" s="83"/>
      <c r="I49" s="83"/>
      <c r="J49" s="83"/>
    </row>
    <row r="50" spans="1:10" x14ac:dyDescent="0.2">
      <c r="A50" t="s">
        <v>167</v>
      </c>
      <c r="B50" s="83">
        <f>J46</f>
        <v>449326</v>
      </c>
      <c r="C50" s="83">
        <v>3196726</v>
      </c>
      <c r="D50" s="83">
        <v>1520.9606341859999</v>
      </c>
      <c r="E50" s="83">
        <f>SUM(B50:D50)</f>
        <v>3647572.9606341859</v>
      </c>
      <c r="F50" s="83">
        <v>459203.3</v>
      </c>
      <c r="G50" s="83">
        <v>373814.78772750002</v>
      </c>
      <c r="H50" s="83">
        <f>I50-F50-G50</f>
        <v>113188.87290668592</v>
      </c>
      <c r="I50" s="83">
        <f>E50-J50</f>
        <v>946206.96063418593</v>
      </c>
      <c r="J50" s="83">
        <f>[1]tab01!D40</f>
        <v>2701366</v>
      </c>
    </row>
    <row r="51" spans="1:10" x14ac:dyDescent="0.2">
      <c r="A51" t="s">
        <v>168</v>
      </c>
      <c r="B51" s="83">
        <f>J50</f>
        <v>2701366</v>
      </c>
      <c r="C51" s="77" t="s">
        <v>150</v>
      </c>
      <c r="D51" s="83">
        <v>1910.4139815579001</v>
      </c>
      <c r="E51" s="83">
        <f>SUM(B51:D51)</f>
        <v>2703276.4139815578</v>
      </c>
      <c r="F51" s="83">
        <v>449817.45299999998</v>
      </c>
      <c r="G51" s="83">
        <v>396317.3644815</v>
      </c>
      <c r="H51" s="83">
        <f>I51-F51-G51</f>
        <v>70254.596500057844</v>
      </c>
      <c r="I51" s="83">
        <f>E51-J51</f>
        <v>916389.41398155782</v>
      </c>
      <c r="J51" s="83">
        <f>[1]tab01!D41</f>
        <v>1786887</v>
      </c>
    </row>
    <row r="52" spans="1:10" x14ac:dyDescent="0.2">
      <c r="A52" t="s">
        <v>164</v>
      </c>
      <c r="B52" s="83">
        <f>J51</f>
        <v>1786887</v>
      </c>
      <c r="C52" s="77" t="s">
        <v>150</v>
      </c>
      <c r="D52" s="83">
        <v>2568.6628165527</v>
      </c>
      <c r="E52" s="83">
        <f>SUM(B52:D52)</f>
        <v>1789455.6628165527</v>
      </c>
      <c r="F52" s="83">
        <v>453227.99633333331</v>
      </c>
      <c r="G52" s="83">
        <v>210005.31041699997</v>
      </c>
      <c r="H52" s="83">
        <f>I52-F52-G52</f>
        <v>34037.356066219392</v>
      </c>
      <c r="I52" s="83">
        <f>E52-J52</f>
        <v>697270.66281655268</v>
      </c>
      <c r="J52" s="83">
        <f>[1]tab01!D42</f>
        <v>1092185</v>
      </c>
    </row>
    <row r="53" spans="1:10" x14ac:dyDescent="0.2">
      <c r="A53" t="s">
        <v>165</v>
      </c>
      <c r="B53" s="83">
        <f>J52</f>
        <v>1092185</v>
      </c>
      <c r="C53" s="77" t="s">
        <v>150</v>
      </c>
      <c r="D53" s="83">
        <v>3033.7137178718999</v>
      </c>
      <c r="E53" s="83">
        <f>SUM(B53:D53)</f>
        <v>1095218.7137178718</v>
      </c>
      <c r="F53" s="83">
        <v>445456.89300000004</v>
      </c>
      <c r="G53" s="83">
        <v>136358.40601530002</v>
      </c>
      <c r="H53" s="83">
        <f>I53-F53-G53</f>
        <v>-60406.585297428246</v>
      </c>
      <c r="I53" s="83">
        <f>E53-J53</f>
        <v>521408.71371787181</v>
      </c>
      <c r="J53" s="83">
        <f>[1]tab01!D43</f>
        <v>573810</v>
      </c>
    </row>
    <row r="54" spans="1:10" x14ac:dyDescent="0.2">
      <c r="A54" t="s">
        <v>169</v>
      </c>
      <c r="B54" s="83"/>
      <c r="C54" s="83">
        <f>SUM(C50:C53)</f>
        <v>3196726</v>
      </c>
      <c r="D54" s="83">
        <f>SUM(D50:D53)</f>
        <v>9033.7511501685003</v>
      </c>
      <c r="E54" s="83">
        <f>B50+D54+C54</f>
        <v>3655085.7511501685</v>
      </c>
      <c r="F54" s="83">
        <f>SUM(F50:F53)</f>
        <v>1807705.6423333334</v>
      </c>
      <c r="G54" s="83">
        <f>SUM(G50:G53)</f>
        <v>1116495.8686412999</v>
      </c>
      <c r="H54" s="83">
        <f>SUM(H50:H53)</f>
        <v>157074.24017553491</v>
      </c>
      <c r="I54" s="83">
        <f>SUM(I50:I53)</f>
        <v>3081275.751150168</v>
      </c>
      <c r="J54" s="83"/>
    </row>
    <row r="55" spans="1:10" x14ac:dyDescent="0.2">
      <c r="B55" s="83"/>
      <c r="C55" s="83"/>
      <c r="D55" s="83"/>
      <c r="E55" s="83"/>
      <c r="F55" s="83"/>
      <c r="G55" s="83"/>
      <c r="H55" s="83"/>
      <c r="I55" s="83"/>
      <c r="J55" s="83"/>
    </row>
    <row r="56" spans="1:10" x14ac:dyDescent="0.2">
      <c r="A56" t="s">
        <v>35</v>
      </c>
      <c r="B56" s="83"/>
      <c r="C56" s="83"/>
      <c r="D56" s="83"/>
      <c r="E56" s="83"/>
      <c r="F56" s="83"/>
      <c r="G56" s="83"/>
      <c r="H56" s="83"/>
      <c r="I56" s="83"/>
      <c r="J56" s="83"/>
    </row>
    <row r="57" spans="1:10" x14ac:dyDescent="0.2">
      <c r="A57" t="s">
        <v>167</v>
      </c>
      <c r="B57" s="83">
        <f>J53</f>
        <v>573810</v>
      </c>
      <c r="C57" s="83">
        <f>[1]tab02!E53</f>
        <v>2677117</v>
      </c>
      <c r="D57" s="83">
        <v>1568.7447137250001</v>
      </c>
      <c r="E57" s="83">
        <f>SUM(B57:D57)</f>
        <v>3252495.7447137251</v>
      </c>
      <c r="F57" s="83">
        <v>467364.81099999999</v>
      </c>
      <c r="G57" s="83">
        <v>328060.35668910004</v>
      </c>
      <c r="H57" s="83">
        <f>I57-F57-G57</f>
        <v>96710.577024625032</v>
      </c>
      <c r="I57" s="83">
        <f>E57-J57</f>
        <v>892135.74471372506</v>
      </c>
      <c r="J57" s="83">
        <f>[1]tab01!D45</f>
        <v>2360360</v>
      </c>
    </row>
    <row r="58" spans="1:10" x14ac:dyDescent="0.2">
      <c r="A58" t="s">
        <v>168</v>
      </c>
      <c r="B58" s="83">
        <f>J57</f>
        <v>2360360</v>
      </c>
      <c r="C58" s="77" t="s">
        <v>150</v>
      </c>
      <c r="D58" s="83">
        <v>3726.7765839738004</v>
      </c>
      <c r="E58" s="83">
        <f>SUM(B58:D58)</f>
        <v>2364086.7765839738</v>
      </c>
      <c r="F58" s="83">
        <v>471037.22666666668</v>
      </c>
      <c r="G58" s="83">
        <v>431289.32001120003</v>
      </c>
      <c r="H58" s="83">
        <f>I58-F58-G58</f>
        <v>27778.229906107066</v>
      </c>
      <c r="I58" s="83">
        <f>E58-J58</f>
        <v>930104.77658397378</v>
      </c>
      <c r="J58" s="83">
        <f>[1]tab01!D46</f>
        <v>1433982</v>
      </c>
    </row>
    <row r="59" spans="1:10" x14ac:dyDescent="0.2">
      <c r="A59" t="s">
        <v>164</v>
      </c>
      <c r="B59" s="83">
        <f>J58</f>
        <v>1433982</v>
      </c>
      <c r="C59" s="77" t="s">
        <v>150</v>
      </c>
      <c r="D59" s="83">
        <v>2237.1732070863</v>
      </c>
      <c r="E59" s="83">
        <f>SUM(B59:D59)</f>
        <v>1436219.1732070863</v>
      </c>
      <c r="F59" s="83">
        <v>456013.5</v>
      </c>
      <c r="G59" s="83">
        <v>243753.14958120001</v>
      </c>
      <c r="H59" s="83">
        <f>I59-F59-G59</f>
        <v>60309.523625886271</v>
      </c>
      <c r="I59" s="83">
        <f>E59-J59</f>
        <v>760076.17320708628</v>
      </c>
      <c r="J59" s="83">
        <f>[1]tab01!D47</f>
        <v>676143</v>
      </c>
    </row>
    <row r="60" spans="1:10" x14ac:dyDescent="0.2">
      <c r="A60" t="s">
        <v>165</v>
      </c>
      <c r="B60" s="83">
        <f>J59</f>
        <v>676143</v>
      </c>
      <c r="C60" s="77" t="s">
        <v>150</v>
      </c>
      <c r="D60" s="83">
        <v>2338.1084081922004</v>
      </c>
      <c r="E60" s="83">
        <f>SUM(B60:D60)</f>
        <v>678481.10840819217</v>
      </c>
      <c r="F60" s="83">
        <v>408991.79999999993</v>
      </c>
      <c r="G60" s="83">
        <v>155726.23074750003</v>
      </c>
      <c r="H60" s="83">
        <f>I60-F60-G60</f>
        <v>-91270.922339307785</v>
      </c>
      <c r="I60" s="83">
        <f>E60-J60</f>
        <v>473447.10840819217</v>
      </c>
      <c r="J60" s="83">
        <f>[1]tab01!D48</f>
        <v>205034</v>
      </c>
    </row>
    <row r="61" spans="1:10" x14ac:dyDescent="0.2">
      <c r="A61" t="s">
        <v>169</v>
      </c>
      <c r="B61" s="83"/>
      <c r="C61" s="83">
        <f>SUM(C57:C60)</f>
        <v>2677117</v>
      </c>
      <c r="D61" s="83">
        <f>SUM(D57:D60)</f>
        <v>9870.8029129773004</v>
      </c>
      <c r="E61" s="83">
        <f>B57+D61+C61</f>
        <v>3260797.8029129775</v>
      </c>
      <c r="F61" s="83">
        <f>SUM(F57:F60)</f>
        <v>1803407.3376666666</v>
      </c>
      <c r="G61" s="83">
        <f>SUM(G57:G60)</f>
        <v>1158829.057029</v>
      </c>
      <c r="H61" s="83">
        <f>SUM(H57:H60)</f>
        <v>93527.408217310585</v>
      </c>
      <c r="I61" s="83">
        <f>SUM(I57:I60)</f>
        <v>3055763.8029129775</v>
      </c>
      <c r="J61" s="83"/>
    </row>
    <row r="62" spans="1:10" ht="13.15" customHeight="1" x14ac:dyDescent="0.2">
      <c r="B62" s="83"/>
      <c r="C62" s="83"/>
      <c r="D62" s="83"/>
      <c r="E62" s="83"/>
      <c r="F62" s="83"/>
      <c r="G62" s="83"/>
      <c r="H62" s="83"/>
      <c r="I62" s="83"/>
      <c r="J62" s="83"/>
    </row>
    <row r="63" spans="1:10" x14ac:dyDescent="0.2">
      <c r="A63" t="s">
        <v>36</v>
      </c>
      <c r="B63" s="83"/>
      <c r="C63" s="83"/>
      <c r="D63" s="83"/>
      <c r="E63" s="83"/>
      <c r="F63" s="83"/>
      <c r="G63" s="83"/>
      <c r="H63" s="83"/>
      <c r="I63" s="83"/>
      <c r="J63" s="83"/>
    </row>
    <row r="64" spans="1:10" x14ac:dyDescent="0.2">
      <c r="A64" t="s">
        <v>167</v>
      </c>
      <c r="B64" s="83">
        <f>J60</f>
        <v>205034</v>
      </c>
      <c r="C64" s="83">
        <f>[1]tab02!E54</f>
        <v>2967007</v>
      </c>
      <c r="D64" s="83">
        <v>2760.0435538011006</v>
      </c>
      <c r="E64" s="83">
        <f>SUM(B64:D64)</f>
        <v>3174801.0435538013</v>
      </c>
      <c r="F64" s="83">
        <v>420422.06666666665</v>
      </c>
      <c r="G64" s="83">
        <v>386933.7216318</v>
      </c>
      <c r="H64" s="83">
        <f>I64-F64-G64</f>
        <v>92013.255255334603</v>
      </c>
      <c r="I64" s="83">
        <f>E64-J64</f>
        <v>899369.04355380125</v>
      </c>
      <c r="J64" s="83">
        <f>[1]tab01!D50</f>
        <v>2275432</v>
      </c>
    </row>
    <row r="65" spans="1:10" x14ac:dyDescent="0.2">
      <c r="A65" t="s">
        <v>168</v>
      </c>
      <c r="B65" s="83">
        <f>J64</f>
        <v>2275432</v>
      </c>
      <c r="C65" s="77" t="s">
        <v>150</v>
      </c>
      <c r="D65" s="83">
        <v>4596.0753527766001</v>
      </c>
      <c r="E65" s="83">
        <f>SUM(B65:D65)</f>
        <v>2280028.0753527768</v>
      </c>
      <c r="F65" s="83">
        <v>421926.73333333328</v>
      </c>
      <c r="G65" s="83">
        <v>482875.27018920006</v>
      </c>
      <c r="H65" s="83">
        <f>I65-F65-G65</f>
        <v>73437.071830243454</v>
      </c>
      <c r="I65" s="83">
        <f>E65-J65</f>
        <v>978239.0753527768</v>
      </c>
      <c r="J65" s="83">
        <f>[1]tab01!D51</f>
        <v>1301789</v>
      </c>
    </row>
    <row r="66" spans="1:10" x14ac:dyDescent="0.2">
      <c r="A66" t="s">
        <v>164</v>
      </c>
      <c r="B66" s="83">
        <f>J65</f>
        <v>1301789</v>
      </c>
      <c r="C66" s="77" t="s">
        <v>150</v>
      </c>
      <c r="D66" s="83">
        <v>3771.8175993330001</v>
      </c>
      <c r="E66" s="83">
        <f>SUM(B66:D66)</f>
        <v>1305560.8175993329</v>
      </c>
      <c r="F66" s="83">
        <v>430856.66666666663</v>
      </c>
      <c r="G66" s="83">
        <v>243683.37329490003</v>
      </c>
      <c r="H66" s="83">
        <f>I66-F66-G66</f>
        <v>34861.777637766238</v>
      </c>
      <c r="I66" s="83">
        <f>E66-J66</f>
        <v>709401.81759933289</v>
      </c>
      <c r="J66" s="83">
        <f>[1]tab01!D52</f>
        <v>596159</v>
      </c>
    </row>
    <row r="67" spans="1:10" x14ac:dyDescent="0.2">
      <c r="A67" t="s">
        <v>165</v>
      </c>
      <c r="B67" s="83">
        <f>J66</f>
        <v>596159</v>
      </c>
      <c r="C67" s="77" t="s">
        <v>150</v>
      </c>
      <c r="D67" s="83">
        <v>2135.1931253835</v>
      </c>
      <c r="E67" s="83">
        <f>SUM(B67:D67)</f>
        <v>598294.19312538346</v>
      </c>
      <c r="F67" s="83">
        <v>388716.6</v>
      </c>
      <c r="G67" s="83">
        <v>165801.2063127</v>
      </c>
      <c r="H67" s="83">
        <f>I67-F67-G67</f>
        <v>-94421.613187316514</v>
      </c>
      <c r="I67" s="83">
        <f>E67-J67</f>
        <v>460096.19312538346</v>
      </c>
      <c r="J67" s="83">
        <f>[1]tab01!D53</f>
        <v>138198</v>
      </c>
    </row>
    <row r="68" spans="1:10" x14ac:dyDescent="0.2">
      <c r="A68" t="s">
        <v>169</v>
      </c>
      <c r="B68" s="83"/>
      <c r="C68" s="83">
        <f>SUM(C64:C67)</f>
        <v>2967007</v>
      </c>
      <c r="D68" s="83">
        <f>SUM(D64:D67)</f>
        <v>13263.129631294199</v>
      </c>
      <c r="E68" s="83">
        <f>B64+D68+C68</f>
        <v>3185304.1296312944</v>
      </c>
      <c r="F68" s="83">
        <f>SUM(F64:F67)</f>
        <v>1661922.0666666664</v>
      </c>
      <c r="G68" s="83">
        <f>SUM(G64:G67)</f>
        <v>1279293.5714286</v>
      </c>
      <c r="H68" s="83">
        <f>SUM(H64:H67)</f>
        <v>105890.49153602778</v>
      </c>
      <c r="I68" s="83">
        <f>SUM(I64:I67)</f>
        <v>3047106.1296312944</v>
      </c>
      <c r="J68" s="83"/>
    </row>
    <row r="69" spans="1:10" x14ac:dyDescent="0.2">
      <c r="B69" s="83"/>
      <c r="C69" s="83"/>
      <c r="D69" s="83"/>
      <c r="E69" s="83"/>
      <c r="F69" s="83"/>
      <c r="G69" s="83"/>
      <c r="H69" s="83"/>
      <c r="I69" s="83"/>
      <c r="J69" s="83"/>
    </row>
    <row r="70" spans="1:10" x14ac:dyDescent="0.2">
      <c r="A70" t="s">
        <v>37</v>
      </c>
      <c r="B70" s="83"/>
      <c r="C70" s="83"/>
      <c r="D70" s="83"/>
      <c r="E70" s="83"/>
      <c r="F70" s="83"/>
      <c r="G70" s="83"/>
      <c r="H70" s="83"/>
      <c r="I70" s="83"/>
      <c r="J70" s="83"/>
    </row>
    <row r="71" spans="1:10" x14ac:dyDescent="0.2">
      <c r="A71" t="s">
        <v>167</v>
      </c>
      <c r="B71" s="83">
        <f>J67</f>
        <v>138198</v>
      </c>
      <c r="C71" s="83">
        <f>[1]tab02!E55</f>
        <v>3360931</v>
      </c>
      <c r="D71" s="83">
        <v>3171.0505351308002</v>
      </c>
      <c r="E71" s="83">
        <f>SUM(B71:D71)</f>
        <v>3502300.0505351308</v>
      </c>
      <c r="F71" s="83">
        <v>445062.33333333331</v>
      </c>
      <c r="G71" s="83">
        <v>535978.25750910002</v>
      </c>
      <c r="H71" s="83">
        <f>I71-F71-G71</f>
        <v>182709.45969269751</v>
      </c>
      <c r="I71" s="83">
        <f>E71-J71</f>
        <v>1163750.0505351308</v>
      </c>
      <c r="J71" s="83">
        <f>[1]tab01!D55</f>
        <v>2338550</v>
      </c>
    </row>
    <row r="72" spans="1:10" x14ac:dyDescent="0.2">
      <c r="A72" t="s">
        <v>168</v>
      </c>
      <c r="B72" s="83">
        <f>J71</f>
        <v>2338550</v>
      </c>
      <c r="C72" s="77" t="s">
        <v>150</v>
      </c>
      <c r="D72" s="83">
        <v>5609.5613607789001</v>
      </c>
      <c r="E72" s="83">
        <f>SUM(B72:D72)</f>
        <v>2344159.5613607788</v>
      </c>
      <c r="F72" s="83">
        <v>494208.20666666667</v>
      </c>
      <c r="G72" s="83">
        <v>622287.15116190002</v>
      </c>
      <c r="H72" s="83">
        <f>I72-F72-G72</f>
        <v>-42403.796467787935</v>
      </c>
      <c r="I72" s="83">
        <f>E72-J72</f>
        <v>1074091.5613607788</v>
      </c>
      <c r="J72" s="83">
        <f>[1]tab01!D56</f>
        <v>1270068</v>
      </c>
    </row>
    <row r="73" spans="1:10" x14ac:dyDescent="0.2">
      <c r="A73" t="s">
        <v>164</v>
      </c>
      <c r="B73" s="83">
        <f>J72</f>
        <v>1270068</v>
      </c>
      <c r="C73" s="77" t="s">
        <v>150</v>
      </c>
      <c r="D73" s="83">
        <v>3181.7533502978999</v>
      </c>
      <c r="E73" s="83">
        <f>SUM(B73:D73)</f>
        <v>1273249.7533502979</v>
      </c>
      <c r="F73" s="83">
        <v>425468.53833333333</v>
      </c>
      <c r="G73" s="83">
        <v>218940.71687040001</v>
      </c>
      <c r="H73" s="83">
        <f>I73-F73-G73</f>
        <v>57717.498146564583</v>
      </c>
      <c r="I73" s="83">
        <f>E73-J73</f>
        <v>702126.75335029792</v>
      </c>
      <c r="J73" s="83">
        <f>[1]tab01!D57</f>
        <v>571123</v>
      </c>
    </row>
    <row r="74" spans="1:10" x14ac:dyDescent="0.2">
      <c r="A74" t="s">
        <v>165</v>
      </c>
      <c r="B74" s="83">
        <f>J73</f>
        <v>571123</v>
      </c>
      <c r="C74" s="77" t="s">
        <v>150</v>
      </c>
      <c r="D74" s="83">
        <v>2625.7415824436998</v>
      </c>
      <c r="E74" s="83">
        <f>SUM(B74:D74)</f>
        <v>573748.7415824437</v>
      </c>
      <c r="F74" s="83">
        <v>386947.19000000006</v>
      </c>
      <c r="G74" s="83">
        <v>121841.99896890001</v>
      </c>
      <c r="H74" s="83">
        <f>I74-F74-G74</f>
        <v>-85925.447386456362</v>
      </c>
      <c r="I74" s="83">
        <f>E74-J74</f>
        <v>422863.7415824437</v>
      </c>
      <c r="J74" s="83">
        <f>[1]tab01!D58</f>
        <v>150885</v>
      </c>
    </row>
    <row r="75" spans="1:10" x14ac:dyDescent="0.2">
      <c r="A75" t="s">
        <v>170</v>
      </c>
      <c r="B75" s="83"/>
      <c r="C75" s="83">
        <f>SUM(C71:C74)</f>
        <v>3360931</v>
      </c>
      <c r="D75" s="83">
        <f>SUM(D71:D74)</f>
        <v>14588.1068286513</v>
      </c>
      <c r="E75" s="83">
        <f>B71+D75+C75</f>
        <v>3513717.1068286514</v>
      </c>
      <c r="F75" s="83">
        <f>SUM(F71:F74)</f>
        <v>1751686.2683333335</v>
      </c>
      <c r="G75" s="83">
        <f>SUM(G71:G74)</f>
        <v>1499048.1245103001</v>
      </c>
      <c r="H75" s="83">
        <f>SUM(H71:H74)</f>
        <v>112097.71398501779</v>
      </c>
      <c r="I75" s="83">
        <f>SUM(I71:I74)</f>
        <v>3362832.1068286514</v>
      </c>
      <c r="J75" s="83"/>
    </row>
    <row r="76" spans="1:10" x14ac:dyDescent="0.2">
      <c r="B76" s="83"/>
      <c r="C76" s="83"/>
      <c r="D76" s="83"/>
      <c r="E76" s="83"/>
      <c r="F76" s="83"/>
      <c r="G76" s="83"/>
      <c r="H76" s="83"/>
      <c r="I76" s="83"/>
      <c r="J76" s="83"/>
    </row>
    <row r="77" spans="1:10" x14ac:dyDescent="0.2">
      <c r="A77" t="s">
        <v>38</v>
      </c>
      <c r="B77" s="83"/>
      <c r="C77" s="83"/>
      <c r="D77" s="83"/>
      <c r="E77" s="83"/>
      <c r="F77" s="83"/>
      <c r="G77" s="83"/>
      <c r="H77" s="83"/>
      <c r="I77" s="83"/>
      <c r="J77" s="83"/>
    </row>
    <row r="78" spans="1:10" x14ac:dyDescent="0.2">
      <c r="A78" t="s">
        <v>167</v>
      </c>
      <c r="B78" s="83">
        <f>J74</f>
        <v>150885</v>
      </c>
      <c r="C78" s="83">
        <f>[1]tab02!E56</f>
        <v>3331306</v>
      </c>
      <c r="D78" s="83">
        <v>3739.2416269929004</v>
      </c>
      <c r="E78" s="83">
        <f>SUM(B78:D78)</f>
        <v>3485930.2416269928</v>
      </c>
      <c r="F78" s="83">
        <v>442633.99966666673</v>
      </c>
      <c r="G78" s="83">
        <v>622063.49225999997</v>
      </c>
      <c r="H78" s="83">
        <f>I78-F78-G78</f>
        <v>143148.74970032612</v>
      </c>
      <c r="I78" s="83">
        <f>E78-J78</f>
        <v>1207846.2416269928</v>
      </c>
      <c r="J78" s="83">
        <f>[1]tab01!D60</f>
        <v>2278084</v>
      </c>
    </row>
    <row r="79" spans="1:10" x14ac:dyDescent="0.2">
      <c r="A79" t="s">
        <v>168</v>
      </c>
      <c r="B79" s="83">
        <f>J78</f>
        <v>2278084</v>
      </c>
      <c r="C79" s="77" t="s">
        <v>150</v>
      </c>
      <c r="D79" s="83">
        <v>4874.7842171721004</v>
      </c>
      <c r="E79" s="83">
        <f>SUM(B79:D79)</f>
        <v>2282958.7842171723</v>
      </c>
      <c r="F79" s="83">
        <v>430928.32833333337</v>
      </c>
      <c r="G79" s="83">
        <v>550535.00913809997</v>
      </c>
      <c r="H79" s="83">
        <f>I79-F79-G79</f>
        <v>52695.446745738969</v>
      </c>
      <c r="I79" s="83">
        <f>E79-J79</f>
        <v>1034158.7842171723</v>
      </c>
      <c r="J79" s="83">
        <f>[1]tab01!D61</f>
        <v>1248800</v>
      </c>
    </row>
    <row r="80" spans="1:10" x14ac:dyDescent="0.2">
      <c r="A80" t="s">
        <v>164</v>
      </c>
      <c r="B80" s="83">
        <f>J79</f>
        <v>1248800</v>
      </c>
      <c r="C80" s="77" t="s">
        <v>150</v>
      </c>
      <c r="D80" s="83">
        <v>2933.2424794659</v>
      </c>
      <c r="E80" s="83">
        <f>SUM(B80:D80)</f>
        <v>1251733.2424794659</v>
      </c>
      <c r="F80" s="83">
        <v>396293.86666666664</v>
      </c>
      <c r="G80" s="83">
        <v>226853.17871579999</v>
      </c>
      <c r="H80" s="83">
        <f>I80-F80-G80</f>
        <v>9303.197096999269</v>
      </c>
      <c r="I80" s="83">
        <f>E80-J80</f>
        <v>632450.2424794659</v>
      </c>
      <c r="J80" s="83">
        <f>[1]tab01!D62</f>
        <v>619283</v>
      </c>
    </row>
    <row r="81" spans="1:10" x14ac:dyDescent="0.2">
      <c r="A81" t="s">
        <v>165</v>
      </c>
      <c r="B81" s="83">
        <f>J80</f>
        <v>619283</v>
      </c>
      <c r="C81" s="77" t="s">
        <v>150</v>
      </c>
      <c r="D81" s="83">
        <v>2901.8281592013</v>
      </c>
      <c r="E81" s="83">
        <f>SUM(B81:D81)</f>
        <v>622184.82815920131</v>
      </c>
      <c r="F81" s="83">
        <v>378186.4</v>
      </c>
      <c r="G81" s="83">
        <v>105525.9589839</v>
      </c>
      <c r="H81" s="83">
        <f>I81-F81-G81</f>
        <v>-76540.530824698712</v>
      </c>
      <c r="I81" s="83">
        <f>E81-J81</f>
        <v>407171.82815920131</v>
      </c>
      <c r="J81" s="83">
        <f>[1]tab01!D63</f>
        <v>215013</v>
      </c>
    </row>
    <row r="82" spans="1:10" x14ac:dyDescent="0.2">
      <c r="A82" t="s">
        <v>170</v>
      </c>
      <c r="B82" s="83"/>
      <c r="C82" s="83">
        <f>SUM(C78:C81)</f>
        <v>3331306</v>
      </c>
      <c r="D82" s="83">
        <f>SUM(D78:D81)</f>
        <v>14449.096482832199</v>
      </c>
      <c r="E82" s="83">
        <f>B78+D82+C82</f>
        <v>3496640.096482832</v>
      </c>
      <c r="F82" s="83">
        <f>SUM(F78:F81)</f>
        <v>1648042.5946666668</v>
      </c>
      <c r="G82" s="83">
        <f>SUM(G78:G81)</f>
        <v>1504977.6390978</v>
      </c>
      <c r="H82" s="83">
        <f>SUM(H78:H81)</f>
        <v>128606.86271836565</v>
      </c>
      <c r="I82" s="83">
        <f>SUM(I78:I81)</f>
        <v>3281627.0964828325</v>
      </c>
      <c r="J82" s="83"/>
    </row>
    <row r="83" spans="1:10" x14ac:dyDescent="0.2">
      <c r="B83" s="83"/>
      <c r="C83" s="83"/>
      <c r="D83" s="83"/>
      <c r="E83" s="83"/>
      <c r="F83" s="83"/>
      <c r="G83" s="83"/>
      <c r="H83" s="83"/>
      <c r="I83" s="83"/>
      <c r="J83" s="83"/>
    </row>
    <row r="84" spans="1:10" x14ac:dyDescent="0.2">
      <c r="A84" t="s">
        <v>39</v>
      </c>
      <c r="B84" s="83"/>
      <c r="C84" s="83"/>
      <c r="D84" s="83"/>
      <c r="E84" s="83"/>
      <c r="F84" s="83"/>
      <c r="G84" s="83"/>
      <c r="H84" s="83"/>
      <c r="I84" s="83"/>
      <c r="J84" s="83"/>
    </row>
    <row r="85" spans="1:10" x14ac:dyDescent="0.2">
      <c r="A85" t="s">
        <v>167</v>
      </c>
      <c r="B85" s="83">
        <f>J81</f>
        <v>215013</v>
      </c>
      <c r="C85" s="83">
        <f>[1]tab02!E57</f>
        <v>3097179</v>
      </c>
      <c r="D85" s="83">
        <v>2844.1205983722002</v>
      </c>
      <c r="E85" s="83">
        <f>SUM(B85:D85)</f>
        <v>3315036.1205983721</v>
      </c>
      <c r="F85" s="77" t="s">
        <v>171</v>
      </c>
      <c r="G85" s="83">
        <v>424831.50450509996</v>
      </c>
      <c r="H85" s="77" t="s">
        <v>171</v>
      </c>
      <c r="I85" s="83">
        <f>E85-J85</f>
        <v>945151.12059837207</v>
      </c>
      <c r="J85" s="83">
        <f>[1]tab01!D65</f>
        <v>2369885</v>
      </c>
    </row>
    <row r="86" spans="1:10" x14ac:dyDescent="0.2">
      <c r="A86" t="s">
        <v>168</v>
      </c>
      <c r="B86" s="83">
        <f>J85</f>
        <v>2369885</v>
      </c>
      <c r="C86" s="77" t="s">
        <v>150</v>
      </c>
      <c r="D86" s="83">
        <v>3141.6916574442002</v>
      </c>
      <c r="E86" s="83">
        <f>SUM(B86:D86)</f>
        <v>2373026.691657444</v>
      </c>
      <c r="F86" s="77" t="s">
        <v>171</v>
      </c>
      <c r="G86" s="83">
        <v>479457.93078500731</v>
      </c>
      <c r="H86" s="77" t="s">
        <v>171</v>
      </c>
      <c r="I86" s="83">
        <f>E86-J86</f>
        <v>998538.691657444</v>
      </c>
      <c r="J86" s="83">
        <f>[1]tab01!D66</f>
        <v>1374488</v>
      </c>
    </row>
    <row r="87" spans="1:10" x14ac:dyDescent="0.2">
      <c r="A87" t="s">
        <v>164</v>
      </c>
      <c r="B87" s="83">
        <f>J86</f>
        <v>1374488</v>
      </c>
      <c r="C87" s="77" t="s">
        <v>150</v>
      </c>
      <c r="D87" s="83">
        <v>5330.7780169035004</v>
      </c>
      <c r="E87" s="83">
        <f>SUM(B87:D87)</f>
        <v>1379818.7780169034</v>
      </c>
      <c r="F87" s="77" t="s">
        <v>171</v>
      </c>
      <c r="G87" s="83">
        <v>256979.2281147</v>
      </c>
      <c r="H87" s="77" t="s">
        <v>171</v>
      </c>
      <c r="I87" s="83">
        <f>E87-J87</f>
        <v>712353.77801690344</v>
      </c>
      <c r="J87" s="83">
        <f>[1]tab01!D67</f>
        <v>667465</v>
      </c>
    </row>
    <row r="88" spans="1:10" x14ac:dyDescent="0.2">
      <c r="A88" t="s">
        <v>165</v>
      </c>
      <c r="B88" s="83">
        <f>J87</f>
        <v>667465</v>
      </c>
      <c r="C88" s="77" t="s">
        <v>150</v>
      </c>
      <c r="D88" s="83">
        <v>4815.411431859</v>
      </c>
      <c r="E88" s="83">
        <f>SUM(B88:D88)</f>
        <v>672280.41143185901</v>
      </c>
      <c r="F88" s="77" t="s">
        <v>171</v>
      </c>
      <c r="G88" s="83">
        <v>203982.31809300242</v>
      </c>
      <c r="H88" s="77" t="s">
        <v>171</v>
      </c>
      <c r="I88" s="83">
        <f>E88-J88</f>
        <v>502910.41143185901</v>
      </c>
      <c r="J88" s="83">
        <f>[1]tab01!D68</f>
        <v>169370</v>
      </c>
    </row>
    <row r="89" spans="1:10" x14ac:dyDescent="0.2">
      <c r="A89" t="s">
        <v>170</v>
      </c>
      <c r="B89" s="83"/>
      <c r="C89" s="83">
        <f>SUM(C85:C88)</f>
        <v>3097179</v>
      </c>
      <c r="D89" s="83">
        <f>SUM(D85:D88)</f>
        <v>16132.001704578901</v>
      </c>
      <c r="E89" s="83">
        <f>B85+D89+C89</f>
        <v>3328324.0017045788</v>
      </c>
      <c r="F89" s="83">
        <v>1703019</v>
      </c>
      <c r="G89" s="83">
        <f>SUM(G85:G88)</f>
        <v>1365250.9814978098</v>
      </c>
      <c r="H89" s="83">
        <f>I89-F89-G89</f>
        <v>90684.020206768531</v>
      </c>
      <c r="I89" s="83">
        <f>SUM(I85:I88)</f>
        <v>3158954.0017045783</v>
      </c>
      <c r="J89" s="83"/>
    </row>
    <row r="90" spans="1:10" x14ac:dyDescent="0.2">
      <c r="B90" s="83"/>
      <c r="C90" s="83"/>
      <c r="D90" s="83"/>
      <c r="E90" s="83"/>
      <c r="F90" s="83"/>
      <c r="G90" s="83"/>
      <c r="H90" s="83"/>
      <c r="I90" s="83"/>
      <c r="J90" s="83"/>
    </row>
    <row r="91" spans="1:10" x14ac:dyDescent="0.2">
      <c r="A91" t="s">
        <v>40</v>
      </c>
      <c r="B91" s="83"/>
      <c r="C91" s="83"/>
      <c r="D91" s="83"/>
      <c r="E91" s="83"/>
      <c r="F91" s="83"/>
      <c r="G91" s="83"/>
      <c r="H91" s="83"/>
      <c r="I91" s="83"/>
      <c r="J91" s="83"/>
    </row>
    <row r="92" spans="1:10" x14ac:dyDescent="0.2">
      <c r="A92" t="s">
        <v>167</v>
      </c>
      <c r="B92" s="83">
        <f>J88</f>
        <v>169370</v>
      </c>
      <c r="C92" s="83">
        <f>[1]tab02!E58</f>
        <v>3042044</v>
      </c>
      <c r="D92" s="83">
        <v>4286.3493307698</v>
      </c>
      <c r="E92" s="83">
        <f>SUM(B92:D92)</f>
        <v>3215700.3493307699</v>
      </c>
      <c r="F92" s="77" t="s">
        <v>171</v>
      </c>
      <c r="G92" s="83">
        <v>626178</v>
      </c>
      <c r="H92" s="77" t="s">
        <v>171</v>
      </c>
      <c r="I92" s="83">
        <f>E92-J92</f>
        <v>1249539.3493307699</v>
      </c>
      <c r="J92" s="83">
        <f>[1]tab01!D70</f>
        <v>1966161</v>
      </c>
    </row>
    <row r="93" spans="1:10" x14ac:dyDescent="0.2">
      <c r="A93" t="s">
        <v>168</v>
      </c>
      <c r="B93" s="83">
        <f>J92</f>
        <v>1966161</v>
      </c>
      <c r="C93" s="77" t="s">
        <v>150</v>
      </c>
      <c r="D93" s="83">
        <v>4718.1036423045007</v>
      </c>
      <c r="E93" s="83">
        <f>SUM(B93:D93)</f>
        <v>1970879.1036423044</v>
      </c>
      <c r="F93" s="77" t="s">
        <v>171</v>
      </c>
      <c r="G93" s="83">
        <v>522187</v>
      </c>
      <c r="H93" s="77" t="s">
        <v>171</v>
      </c>
      <c r="I93" s="83">
        <f>E93-J93</f>
        <v>972859.10364230443</v>
      </c>
      <c r="J93" s="83">
        <f>[1]tab01!D71</f>
        <v>998020</v>
      </c>
    </row>
    <row r="94" spans="1:10" x14ac:dyDescent="0.2">
      <c r="A94" t="s">
        <v>164</v>
      </c>
      <c r="B94" s="83">
        <f>J93</f>
        <v>998020</v>
      </c>
      <c r="C94" s="77" t="s">
        <v>150</v>
      </c>
      <c r="D94" s="83">
        <v>7837.8888527835006</v>
      </c>
      <c r="E94" s="83">
        <f>SUM(B94:D94)</f>
        <v>1005857.8888527835</v>
      </c>
      <c r="F94" s="77" t="s">
        <v>171</v>
      </c>
      <c r="G94" s="83">
        <v>128665</v>
      </c>
      <c r="H94" s="77" t="s">
        <v>171</v>
      </c>
      <c r="I94" s="83">
        <f>E94-J94</f>
        <v>571193.88885278348</v>
      </c>
      <c r="J94" s="83">
        <f>[1]tab01!D72</f>
        <v>434664</v>
      </c>
    </row>
    <row r="95" spans="1:10" x14ac:dyDescent="0.2">
      <c r="A95" t="s">
        <v>165</v>
      </c>
      <c r="B95" s="83">
        <f>J94</f>
        <v>434664</v>
      </c>
      <c r="C95" s="77" t="s">
        <v>150</v>
      </c>
      <c r="D95" s="83">
        <v>23674</v>
      </c>
      <c r="E95" s="83">
        <f>SUM(B95:D95)</f>
        <v>458338</v>
      </c>
      <c r="F95" s="77" t="s">
        <v>171</v>
      </c>
      <c r="G95" s="83">
        <v>50496</v>
      </c>
      <c r="H95" s="77" t="s">
        <v>171</v>
      </c>
      <c r="I95" s="83">
        <f>E95-J95</f>
        <v>317781</v>
      </c>
      <c r="J95" s="83">
        <f>[1]tab01!D73</f>
        <v>140557</v>
      </c>
    </row>
    <row r="96" spans="1:10" x14ac:dyDescent="0.2">
      <c r="A96" t="s">
        <v>170</v>
      </c>
      <c r="B96" s="83"/>
      <c r="C96" s="83">
        <f>SUM(C92:C95)</f>
        <v>3042044</v>
      </c>
      <c r="D96" s="83">
        <f>SUM(D92:D95)</f>
        <v>40516.341825857802</v>
      </c>
      <c r="E96" s="83">
        <f>B92+D96+C96</f>
        <v>3251930.3418258578</v>
      </c>
      <c r="F96" s="83">
        <v>1688903</v>
      </c>
      <c r="G96" s="83">
        <f>SUM(G92:G95)</f>
        <v>1327526</v>
      </c>
      <c r="H96" s="83">
        <f>I96-F96-G96</f>
        <v>94944.341825857759</v>
      </c>
      <c r="I96" s="83">
        <f>SUM(I92:I95)</f>
        <v>3111373.3418258578</v>
      </c>
      <c r="J96" s="83"/>
    </row>
    <row r="97" spans="1:10" x14ac:dyDescent="0.2">
      <c r="B97" s="83"/>
      <c r="C97" s="83"/>
      <c r="D97" s="83"/>
      <c r="E97" s="83"/>
      <c r="F97" s="77"/>
      <c r="G97" s="83"/>
      <c r="H97" s="77"/>
      <c r="I97" s="83"/>
      <c r="J97" s="83"/>
    </row>
    <row r="98" spans="1:10" x14ac:dyDescent="0.2">
      <c r="A98" t="s">
        <v>41</v>
      </c>
      <c r="B98" s="83"/>
      <c r="C98" s="83"/>
      <c r="D98" s="83"/>
      <c r="E98" s="83"/>
      <c r="F98" s="77"/>
      <c r="G98" s="83"/>
      <c r="H98" s="77"/>
      <c r="I98" s="83"/>
      <c r="J98" s="83"/>
    </row>
    <row r="99" spans="1:10" x14ac:dyDescent="0.2">
      <c r="A99" t="s">
        <v>167</v>
      </c>
      <c r="B99" s="83">
        <f>J95</f>
        <v>140557</v>
      </c>
      <c r="C99" s="83">
        <f>[1]tab02!E59</f>
        <v>3357984</v>
      </c>
      <c r="D99" s="83">
        <v>7488.2060411865004</v>
      </c>
      <c r="E99" s="83">
        <f>SUM(B99:D99)</f>
        <v>3506029.2060411866</v>
      </c>
      <c r="F99" s="77" t="s">
        <v>171</v>
      </c>
      <c r="G99" s="83">
        <v>676505.78762861853</v>
      </c>
      <c r="H99" s="77" t="s">
        <v>171</v>
      </c>
      <c r="I99" s="83">
        <f>E99-J99</f>
        <v>1352408.2060411866</v>
      </c>
      <c r="J99" s="83">
        <f>[1]tab01!D75</f>
        <v>2153621</v>
      </c>
    </row>
    <row r="100" spans="1:10" x14ac:dyDescent="0.2">
      <c r="A100" t="s">
        <v>168</v>
      </c>
      <c r="B100" s="83">
        <f>J99</f>
        <v>2153621</v>
      </c>
      <c r="C100" s="77" t="s">
        <v>150</v>
      </c>
      <c r="D100" s="83">
        <v>8415.7309346565016</v>
      </c>
      <c r="E100" s="83">
        <f>SUM(B100:D100)</f>
        <v>2162036.7309346567</v>
      </c>
      <c r="F100" s="77" t="s">
        <v>171</v>
      </c>
      <c r="G100" s="83">
        <v>712229.04658936174</v>
      </c>
      <c r="H100" s="77" t="s">
        <v>171</v>
      </c>
      <c r="I100" s="83">
        <f>E100-J100</f>
        <v>1168208.7309346567</v>
      </c>
      <c r="J100" s="83">
        <f>[1]tab01!D76</f>
        <v>993828</v>
      </c>
    </row>
    <row r="101" spans="1:10" x14ac:dyDescent="0.2">
      <c r="A101" t="s">
        <v>164</v>
      </c>
      <c r="B101" s="83">
        <f>J100</f>
        <v>993828</v>
      </c>
      <c r="C101" s="77" t="s">
        <v>150</v>
      </c>
      <c r="D101" s="83">
        <v>25586.9457776163</v>
      </c>
      <c r="E101" s="83">
        <f>SUM(B101:D101)</f>
        <v>1019414.9457776163</v>
      </c>
      <c r="F101" s="77" t="s">
        <v>171</v>
      </c>
      <c r="G101" s="83">
        <v>192044.2650875175</v>
      </c>
      <c r="H101" s="77" t="s">
        <v>171</v>
      </c>
      <c r="I101" s="83">
        <f>E101-J101</f>
        <v>614369.94577761635</v>
      </c>
      <c r="J101" s="83">
        <f>[1]tab01!D77</f>
        <v>405045</v>
      </c>
    </row>
    <row r="102" spans="1:10" x14ac:dyDescent="0.2">
      <c r="A102" t="s">
        <v>165</v>
      </c>
      <c r="B102" s="83">
        <f>J101</f>
        <v>405045</v>
      </c>
      <c r="C102" s="77" t="s">
        <v>150</v>
      </c>
      <c r="D102" s="83">
        <v>30286.1634153267</v>
      </c>
      <c r="E102" s="83">
        <f>SUM(B102:D102)</f>
        <v>435331.16341532668</v>
      </c>
      <c r="F102" s="77" t="s">
        <v>171</v>
      </c>
      <c r="G102" s="83">
        <v>57779.840463681008</v>
      </c>
      <c r="H102" s="77" t="s">
        <v>171</v>
      </c>
      <c r="I102" s="83">
        <f>E102-J102</f>
        <v>343340.16341532668</v>
      </c>
      <c r="J102" s="83">
        <f>[1]tab01!D78</f>
        <v>91991</v>
      </c>
    </row>
    <row r="103" spans="1:10" x14ac:dyDescent="0.2">
      <c r="A103" t="s">
        <v>170</v>
      </c>
      <c r="B103" s="83"/>
      <c r="C103" s="83">
        <f>SUM(C99:C102)</f>
        <v>3357984</v>
      </c>
      <c r="D103" s="83">
        <f>SUM(D99:D102)</f>
        <v>71777.046168786008</v>
      </c>
      <c r="E103" s="83">
        <f>B99+D103+C103</f>
        <v>3570318.046168786</v>
      </c>
      <c r="F103" s="83">
        <v>1733888</v>
      </c>
      <c r="G103" s="83">
        <f>SUM(G99:G102)</f>
        <v>1638558.9397691786</v>
      </c>
      <c r="H103" s="83">
        <f>I103-F103-G103</f>
        <v>105880.10639960784</v>
      </c>
      <c r="I103" s="83">
        <f>SUM(I99:I102)</f>
        <v>3478327.0461687865</v>
      </c>
      <c r="J103" s="83"/>
    </row>
    <row r="104" spans="1:10" x14ac:dyDescent="0.2">
      <c r="B104" s="83"/>
      <c r="C104" s="83"/>
      <c r="D104" s="83"/>
      <c r="E104" s="83"/>
      <c r="F104" s="83"/>
      <c r="G104" s="83"/>
      <c r="H104" s="83"/>
      <c r="I104" s="83"/>
      <c r="J104" s="83"/>
    </row>
    <row r="105" spans="1:10" x14ac:dyDescent="0.2">
      <c r="A105" t="s">
        <v>42</v>
      </c>
      <c r="B105" s="83"/>
      <c r="C105" s="83"/>
      <c r="D105" s="83"/>
      <c r="E105" s="83"/>
      <c r="F105" s="77"/>
      <c r="G105" s="83"/>
      <c r="H105" s="77"/>
      <c r="I105" s="83"/>
      <c r="J105" s="83"/>
    </row>
    <row r="106" spans="1:10" x14ac:dyDescent="0.2">
      <c r="A106" t="s">
        <v>167</v>
      </c>
      <c r="B106" s="83">
        <f>J102</f>
        <v>91991</v>
      </c>
      <c r="C106" s="83">
        <f>[1]tab02!E60</f>
        <v>3927090</v>
      </c>
      <c r="D106" s="83">
        <v>7626.5134432809</v>
      </c>
      <c r="E106" s="83">
        <f>SUM(B106:D106)</f>
        <v>4026707.5134432809</v>
      </c>
      <c r="F106" s="77" t="s">
        <v>171</v>
      </c>
      <c r="G106" s="83">
        <v>812568.94971034233</v>
      </c>
      <c r="H106" s="77" t="s">
        <v>171</v>
      </c>
      <c r="I106" s="83">
        <f>E106-J106</f>
        <v>1498963.5134432809</v>
      </c>
      <c r="J106" s="83">
        <f>[1]tab01!D80</f>
        <v>2527744</v>
      </c>
    </row>
    <row r="107" spans="1:10" x14ac:dyDescent="0.2">
      <c r="A107" t="s">
        <v>168</v>
      </c>
      <c r="B107" s="83">
        <f>J106</f>
        <v>2527744</v>
      </c>
      <c r="C107" s="77" t="s">
        <v>150</v>
      </c>
      <c r="D107" s="83">
        <v>8698.9358684151011</v>
      </c>
      <c r="E107" s="83">
        <f>SUM(B107:D107)</f>
        <v>2536442.9358684151</v>
      </c>
      <c r="F107" s="77" t="s">
        <v>171</v>
      </c>
      <c r="G107" s="83">
        <v>725406.55222957116</v>
      </c>
      <c r="H107" s="77" t="s">
        <v>171</v>
      </c>
      <c r="I107" s="83">
        <f>E107-J107</f>
        <v>1209843.9358684151</v>
      </c>
      <c r="J107" s="83">
        <f>[1]tab01!D81</f>
        <v>1326599</v>
      </c>
    </row>
    <row r="108" spans="1:10" x14ac:dyDescent="0.2">
      <c r="A108" t="s">
        <v>164</v>
      </c>
      <c r="B108" s="83">
        <f>J107</f>
        <v>1326599</v>
      </c>
      <c r="C108" s="77" t="s">
        <v>150</v>
      </c>
      <c r="D108" s="83">
        <v>8256.0711071055011</v>
      </c>
      <c r="E108" s="83">
        <f>SUM(B108:D108)</f>
        <v>1334855.0711071056</v>
      </c>
      <c r="F108" s="77" t="s">
        <v>171</v>
      </c>
      <c r="G108" s="83">
        <v>187766.04864404941</v>
      </c>
      <c r="H108" s="77" t="s">
        <v>171</v>
      </c>
      <c r="I108" s="83">
        <f>E108-J108</f>
        <v>707787.07110710558</v>
      </c>
      <c r="J108" s="83">
        <f>[1]tab01!D82</f>
        <v>627068</v>
      </c>
    </row>
    <row r="109" spans="1:10" x14ac:dyDescent="0.2">
      <c r="A109" t="s">
        <v>165</v>
      </c>
      <c r="B109" s="83">
        <f>J108</f>
        <v>627068</v>
      </c>
      <c r="C109" s="77" t="s">
        <v>150</v>
      </c>
      <c r="D109" s="83">
        <v>8663.3411806578006</v>
      </c>
      <c r="E109" s="83">
        <f>SUM(B109:D109)</f>
        <v>635731.34118065785</v>
      </c>
      <c r="F109" s="83">
        <v>451978.8</v>
      </c>
      <c r="G109" s="83">
        <v>116681.142008928</v>
      </c>
      <c r="H109" s="83">
        <f>I109-F109-G109</f>
        <v>-123538.60082827014</v>
      </c>
      <c r="I109" s="83">
        <f>E109-J109</f>
        <v>445121.34118065785</v>
      </c>
      <c r="J109" s="83">
        <f>[1]tab01!D83</f>
        <v>190610</v>
      </c>
    </row>
    <row r="110" spans="1:10" x14ac:dyDescent="0.2">
      <c r="A110" t="s">
        <v>170</v>
      </c>
      <c r="B110" s="83"/>
      <c r="C110" s="83">
        <f>SUM(C106:C109)</f>
        <v>3927090</v>
      </c>
      <c r="D110" s="83">
        <f>SUM(D106:D109)</f>
        <v>33244.861599459298</v>
      </c>
      <c r="E110" s="83">
        <f>B106+D110+C110</f>
        <v>4052325.8615994593</v>
      </c>
      <c r="F110" s="83">
        <v>1873493.7851587886</v>
      </c>
      <c r="G110" s="83">
        <f>SUM(G106:G109)</f>
        <v>1842422.6925928909</v>
      </c>
      <c r="H110" s="83">
        <f>I110-F110-G110</f>
        <v>145799.38384777983</v>
      </c>
      <c r="I110" s="83">
        <f>SUM(I106:I109)</f>
        <v>3861715.8615994593</v>
      </c>
      <c r="J110" s="83"/>
    </row>
    <row r="111" spans="1:10" x14ac:dyDescent="0.2">
      <c r="B111" s="83"/>
      <c r="C111" s="83"/>
      <c r="D111" s="83"/>
      <c r="E111" s="83"/>
      <c r="F111" s="83"/>
      <c r="G111" s="83"/>
      <c r="H111" s="83"/>
      <c r="I111" s="83"/>
      <c r="J111" s="83"/>
    </row>
    <row r="112" spans="1:10" x14ac:dyDescent="0.2">
      <c r="A112" t="s">
        <v>43</v>
      </c>
      <c r="B112" s="83"/>
      <c r="C112" s="83"/>
      <c r="D112" s="83"/>
      <c r="E112" s="83"/>
      <c r="F112" s="83"/>
      <c r="G112" s="83"/>
      <c r="H112" s="83"/>
      <c r="I112" s="83"/>
      <c r="J112" s="83"/>
    </row>
    <row r="113" spans="1:10" x14ac:dyDescent="0.2">
      <c r="A113" t="s">
        <v>172</v>
      </c>
      <c r="B113" s="83"/>
      <c r="C113" s="83"/>
      <c r="D113" s="83">
        <f>(22482.759+34075.833+9902.774)*2.204622/60</f>
        <v>2442.0364938941998</v>
      </c>
      <c r="E113" s="83"/>
      <c r="F113" s="83">
        <f>4036.896*2000/60</f>
        <v>134563.20000000001</v>
      </c>
      <c r="G113" s="83">
        <f>(8635.616+2340934)*2.204622/60</f>
        <v>86331.881099419203</v>
      </c>
      <c r="H113" s="83"/>
      <c r="I113" s="83"/>
      <c r="J113" s="83"/>
    </row>
    <row r="114" spans="1:10" x14ac:dyDescent="0.2">
      <c r="A114" t="s">
        <v>173</v>
      </c>
      <c r="B114" s="83"/>
      <c r="C114" s="83"/>
      <c r="D114" s="83">
        <f>(30761.288+15402.368+14004.607)*2.204622/60</f>
        <v>2210.8046051931005</v>
      </c>
      <c r="E114" s="83"/>
      <c r="F114" s="83">
        <f>5104.01*2000/60</f>
        <v>170133.66666666666</v>
      </c>
      <c r="G114" s="83">
        <f>(54568.525+10008889)*2.204622/60</f>
        <v>369768.66426134255</v>
      </c>
      <c r="H114" s="83"/>
      <c r="I114" s="83"/>
      <c r="J114" s="83"/>
    </row>
    <row r="115" spans="1:10" x14ac:dyDescent="0.2">
      <c r="A115" t="s">
        <v>174</v>
      </c>
      <c r="B115" s="83"/>
      <c r="C115" s="83"/>
      <c r="D115" s="83">
        <f>(18532.879+23937.18+7668.508)*2.204622/60</f>
        <v>1842.2764642779002</v>
      </c>
      <c r="E115" s="83"/>
      <c r="F115" s="83">
        <f>4973.534*2000/60</f>
        <v>165784.46666666667</v>
      </c>
      <c r="G115" s="83">
        <f>(45311.179+9126091)*2.204622/60</f>
        <v>336991.25024452229</v>
      </c>
      <c r="H115" s="83"/>
      <c r="I115" s="83"/>
      <c r="J115" s="83"/>
    </row>
    <row r="116" spans="1:10" x14ac:dyDescent="0.2">
      <c r="A116" t="s">
        <v>167</v>
      </c>
      <c r="B116" s="83">
        <f>J109</f>
        <v>190610</v>
      </c>
      <c r="C116" s="83">
        <f>[1]tab02!E61</f>
        <v>3926339</v>
      </c>
      <c r="D116" s="83">
        <f>D113+D114+D115</f>
        <v>6495.1175633652001</v>
      </c>
      <c r="E116" s="83">
        <f>SUM(B116:D116)</f>
        <v>4123444.117563365</v>
      </c>
      <c r="F116" s="83">
        <f>F113+F114+F115</f>
        <v>470481.33333333337</v>
      </c>
      <c r="G116" s="83">
        <f>G113+G114+G115</f>
        <v>793091.79560528405</v>
      </c>
      <c r="H116" s="83">
        <f>I116-F116-G116</f>
        <v>145793.98862474761</v>
      </c>
      <c r="I116" s="83">
        <f>E116-J116</f>
        <v>1409367.117563365</v>
      </c>
      <c r="J116" s="83">
        <f>[1]tab01!D85</f>
        <v>2714077</v>
      </c>
    </row>
    <row r="117" spans="1:10" x14ac:dyDescent="0.2">
      <c r="A117" t="s">
        <v>175</v>
      </c>
      <c r="B117" s="83"/>
      <c r="C117" s="83"/>
      <c r="D117" s="83">
        <f>(23066.654+23435.922+11862.994)*2.204622/60</f>
        <v>2144.566994409</v>
      </c>
      <c r="E117" s="83"/>
      <c r="F117" s="83">
        <f>5011.324*2000/60</f>
        <v>167044.13333333333</v>
      </c>
      <c r="G117" s="83">
        <f>(27739.906+6712677)*2.204622/60</f>
        <v>247667.85666899223</v>
      </c>
      <c r="H117" s="83"/>
      <c r="I117" s="83"/>
      <c r="J117" s="83"/>
    </row>
    <row r="118" spans="1:10" x14ac:dyDescent="0.2">
      <c r="A118" t="s">
        <v>176</v>
      </c>
      <c r="B118" s="83"/>
      <c r="C118" s="83"/>
      <c r="D118" s="83">
        <f>(22180.26+50057.952+5444.698)*2.204622/60</f>
        <v>2854.3575401670005</v>
      </c>
      <c r="E118" s="83"/>
      <c r="F118" s="83">
        <f>4814.044*2000/60</f>
        <v>160468.13333333333</v>
      </c>
      <c r="G118" s="83">
        <f>(23530.122+6062143)*2.204622/60</f>
        <v>223610.14749283143</v>
      </c>
      <c r="H118" s="83"/>
      <c r="I118" s="83"/>
      <c r="J118" s="83"/>
    </row>
    <row r="119" spans="1:10" x14ac:dyDescent="0.2">
      <c r="A119" t="s">
        <v>177</v>
      </c>
      <c r="B119" s="83"/>
      <c r="C119" s="83"/>
      <c r="D119" s="83">
        <f>(13265.191+12525.188+8042.031)*2.204622/60</f>
        <v>1243.1279233170001</v>
      </c>
      <c r="E119" s="83"/>
      <c r="F119" s="83">
        <f>4638.663*2000/60</f>
        <v>154622.1</v>
      </c>
      <c r="G119" s="83">
        <f>(37698.284+5645763)*2.204622/60</f>
        <v>208831.3963809108</v>
      </c>
      <c r="H119" s="83"/>
      <c r="I119" s="83"/>
      <c r="J119" s="83"/>
    </row>
    <row r="120" spans="1:10" x14ac:dyDescent="0.2">
      <c r="A120" t="s">
        <v>168</v>
      </c>
      <c r="B120" s="83">
        <f>J116</f>
        <v>2714077</v>
      </c>
      <c r="C120" s="77" t="s">
        <v>150</v>
      </c>
      <c r="D120" s="83">
        <f>D117+D118+D119</f>
        <v>6242.0524578930008</v>
      </c>
      <c r="E120" s="83">
        <f>SUM(B120:D120)</f>
        <v>2720319.0524578928</v>
      </c>
      <c r="F120" s="83">
        <f>F117+F118+F119</f>
        <v>482134.3666666667</v>
      </c>
      <c r="G120" s="83">
        <f>G117+G118+G119</f>
        <v>680109.40054273442</v>
      </c>
      <c r="H120" s="83">
        <f>I120-F120-G120</f>
        <v>27169.28524849168</v>
      </c>
      <c r="I120" s="83">
        <f>E120-J120</f>
        <v>1189413.0524578928</v>
      </c>
      <c r="J120" s="83">
        <f>[1]tab01!D86</f>
        <v>1530906</v>
      </c>
    </row>
    <row r="121" spans="1:10" x14ac:dyDescent="0.2">
      <c r="A121" t="s">
        <v>178</v>
      </c>
      <c r="B121" s="83"/>
      <c r="C121" s="83"/>
      <c r="D121" s="83">
        <f>(8941.317+45345.572+14260.668)*2.204622/60</f>
        <v>2518.6908701408997</v>
      </c>
      <c r="E121" s="83"/>
      <c r="F121" s="83">
        <f>4991.626*2000/60</f>
        <v>166387.53333333333</v>
      </c>
      <c r="G121" s="83">
        <f>(43535.64+2599246)*2.204622/60</f>
        <v>97105.575745668015</v>
      </c>
      <c r="H121" s="83"/>
      <c r="I121" s="83"/>
      <c r="J121" s="83"/>
    </row>
    <row r="122" spans="1:10" x14ac:dyDescent="0.2">
      <c r="A122" t="s">
        <v>179</v>
      </c>
      <c r="B122" s="83"/>
      <c r="C122" s="83"/>
      <c r="D122" s="83">
        <f>(3189.745+38377.125+8076.195)*2.204622/60</f>
        <v>1824.0698874405</v>
      </c>
      <c r="E122" s="83"/>
      <c r="F122" s="83">
        <f>4745.09*2000/60</f>
        <v>158169.66666666666</v>
      </c>
      <c r="G122" s="83">
        <f>(39452.6+1320232)*2.204622/60</f>
        <v>49959.84303702</v>
      </c>
      <c r="H122" s="83"/>
      <c r="I122" s="83"/>
      <c r="J122" s="83"/>
    </row>
    <row r="123" spans="1:10" x14ac:dyDescent="0.2">
      <c r="A123" t="s">
        <v>180</v>
      </c>
      <c r="B123" s="83"/>
      <c r="C123" s="83"/>
      <c r="D123" s="83">
        <f>(2844.551+13689.488+6060.305)*2.204622/60</f>
        <v>830.19979763280003</v>
      </c>
      <c r="E123" s="83"/>
      <c r="F123" s="83">
        <f>4825.833*2000/60</f>
        <v>160861.1</v>
      </c>
      <c r="G123" s="83">
        <f>(40802.278+846531)*2.204622/60</f>
        <v>32603.907766848606</v>
      </c>
      <c r="H123" s="83"/>
      <c r="I123" s="83"/>
      <c r="J123" s="83"/>
    </row>
    <row r="124" spans="1:10" x14ac:dyDescent="0.2">
      <c r="A124" t="s">
        <v>164</v>
      </c>
      <c r="B124" s="83">
        <f>J120</f>
        <v>1530906</v>
      </c>
      <c r="C124" s="77" t="s">
        <v>150</v>
      </c>
      <c r="D124" s="83">
        <f>D121+D122+D123</f>
        <v>5172.9605552142002</v>
      </c>
      <c r="E124" s="83">
        <f>SUM(B124:D124)</f>
        <v>1536078.9605552142</v>
      </c>
      <c r="F124" s="83">
        <f>F121+F122+F123</f>
        <v>485418.29999999993</v>
      </c>
      <c r="G124" s="83">
        <f>G121+G122+G123</f>
        <v>179669.32654953661</v>
      </c>
      <c r="H124" s="83">
        <f>I124-F124-G124</f>
        <v>-789.66599432233488</v>
      </c>
      <c r="I124" s="83">
        <f>E124-J124</f>
        <v>664297.9605552142</v>
      </c>
      <c r="J124" s="83">
        <f>[1]tab01!D87</f>
        <v>871781</v>
      </c>
    </row>
    <row r="125" spans="1:10" x14ac:dyDescent="0.2">
      <c r="A125" t="s">
        <v>181</v>
      </c>
      <c r="B125" s="83"/>
      <c r="C125" s="83"/>
      <c r="D125" s="83">
        <f>(22179.58+32095.361+10748.688)*2.204622/60</f>
        <v>2389.2087168872999</v>
      </c>
      <c r="E125" s="83"/>
      <c r="F125" s="83">
        <f>4623.752*2000/60</f>
        <v>154125.06666666668</v>
      </c>
      <c r="G125" s="83">
        <f>(43343.375+1008726)*2.204622/60</f>
        <v>38656.921494187503</v>
      </c>
      <c r="H125" s="83"/>
      <c r="I125" s="83"/>
      <c r="J125" s="83"/>
    </row>
    <row r="126" spans="1:10" x14ac:dyDescent="0.2">
      <c r="A126" t="s">
        <v>182</v>
      </c>
      <c r="B126" s="83"/>
      <c r="C126" s="83"/>
      <c r="D126" s="83">
        <f>(9715.449+23787.495+5551.218)*2.204622/60</f>
        <v>1434.9944122794002</v>
      </c>
      <c r="E126" s="83"/>
      <c r="F126" s="83">
        <f>4603.543*2000/60</f>
        <v>153451.43333333332</v>
      </c>
      <c r="G126" s="83">
        <f>(33198.159+2628604)*2.204622/60</f>
        <v>97804.459989648298</v>
      </c>
      <c r="H126" s="83"/>
      <c r="I126" s="83"/>
      <c r="J126" s="83"/>
    </row>
    <row r="127" spans="1:10" x14ac:dyDescent="0.2">
      <c r="A127" t="s">
        <v>183</v>
      </c>
      <c r="B127" s="83"/>
      <c r="C127" s="83"/>
      <c r="D127" s="83">
        <f>(3860.891+36534.668+8908.269)*2.204622/60</f>
        <v>1811.6050648836001</v>
      </c>
      <c r="E127" s="83"/>
      <c r="F127" s="83">
        <f>4218.789*2000/60</f>
        <v>140626.29999999999</v>
      </c>
      <c r="G127" s="83">
        <f>(66074.229+4095847)*2.204622/60</f>
        <v>152924.38506200729</v>
      </c>
      <c r="H127" s="83"/>
      <c r="I127" s="83"/>
      <c r="J127" s="83"/>
    </row>
    <row r="128" spans="1:10" x14ac:dyDescent="0.2">
      <c r="A128" t="s">
        <v>165</v>
      </c>
      <c r="B128" s="83">
        <f>J124</f>
        <v>871781</v>
      </c>
      <c r="C128" s="77" t="s">
        <v>150</v>
      </c>
      <c r="D128" s="83">
        <f>D125+D126+D127</f>
        <v>5635.8081940502998</v>
      </c>
      <c r="E128" s="83">
        <f>SUM(B128:D128)</f>
        <v>877416.80819405033</v>
      </c>
      <c r="F128" s="83">
        <f>F125+F126+F127</f>
        <v>448202.8</v>
      </c>
      <c r="G128" s="83">
        <f>G125+G126+G127</f>
        <v>289385.7665458431</v>
      </c>
      <c r="H128" s="83">
        <f>I128-F128-G128</f>
        <v>-56900.758351792756</v>
      </c>
      <c r="I128" s="83">
        <f>E128-J128</f>
        <v>680687.80819405033</v>
      </c>
      <c r="J128" s="83">
        <f>[1]tab01!D88</f>
        <v>196729</v>
      </c>
    </row>
    <row r="129" spans="1:10" x14ac:dyDescent="0.2">
      <c r="A129" t="s">
        <v>170</v>
      </c>
      <c r="B129" s="83"/>
      <c r="C129" s="83">
        <f>SUM(C116:C128)</f>
        <v>3926339</v>
      </c>
      <c r="D129" s="83">
        <f>D116+D120+D124+D128</f>
        <v>23545.938770522702</v>
      </c>
      <c r="E129" s="83">
        <f>B116+D129+C129</f>
        <v>4140494.9387705228</v>
      </c>
      <c r="F129" s="83">
        <f>F116+F120+F124+F128</f>
        <v>1886236.8</v>
      </c>
      <c r="G129" s="83">
        <f>G116+G120+G124+G128</f>
        <v>1942256.289243398</v>
      </c>
      <c r="H129" s="83">
        <f>H116+H120+H124+H128</f>
        <v>115272.8495271242</v>
      </c>
      <c r="I129" s="83">
        <f>I116+I120+I124+I128</f>
        <v>3943765.9387705224</v>
      </c>
      <c r="J129" s="83"/>
    </row>
    <row r="130" spans="1:10" x14ac:dyDescent="0.2">
      <c r="B130" s="83"/>
      <c r="C130" s="83"/>
      <c r="D130" s="83"/>
      <c r="E130" s="83"/>
      <c r="F130" s="83"/>
      <c r="G130" s="83"/>
      <c r="H130" s="83"/>
      <c r="I130" s="83"/>
      <c r="J130" s="83"/>
    </row>
    <row r="131" spans="1:10" x14ac:dyDescent="0.2">
      <c r="A131" t="s">
        <v>44</v>
      </c>
      <c r="B131" s="83"/>
      <c r="C131" s="83"/>
      <c r="D131" s="83"/>
      <c r="E131" s="83"/>
      <c r="F131" s="83"/>
      <c r="G131" s="83"/>
      <c r="H131" s="83"/>
      <c r="I131" s="83"/>
      <c r="J131" s="83"/>
    </row>
    <row r="132" spans="1:10" x14ac:dyDescent="0.2">
      <c r="A132" t="s">
        <v>172</v>
      </c>
      <c r="B132" s="83"/>
      <c r="C132" s="83"/>
      <c r="D132" s="83">
        <v>2295.6001728176998</v>
      </c>
      <c r="E132" s="83"/>
      <c r="F132" s="83">
        <f>4148.008*2000/60</f>
        <v>138266.93333333332</v>
      </c>
      <c r="G132" s="83">
        <v>136536.70033681861</v>
      </c>
      <c r="H132" s="83"/>
      <c r="I132" s="83"/>
      <c r="J132" s="83"/>
    </row>
    <row r="133" spans="1:10" x14ac:dyDescent="0.2">
      <c r="A133" t="s">
        <v>173</v>
      </c>
      <c r="B133" s="83"/>
      <c r="C133" s="83"/>
      <c r="D133" s="83">
        <v>1752.9000595743003</v>
      </c>
      <c r="E133" s="83"/>
      <c r="F133" s="83">
        <f>5276.415*2000/60</f>
        <v>175880.5</v>
      </c>
      <c r="G133" s="83">
        <v>412151.51510326925</v>
      </c>
      <c r="H133" s="83"/>
      <c r="I133" s="83"/>
      <c r="J133" s="83"/>
    </row>
    <row r="134" spans="1:10" x14ac:dyDescent="0.2">
      <c r="A134" t="s">
        <v>174</v>
      </c>
      <c r="B134" s="83"/>
      <c r="C134" s="83"/>
      <c r="D134" s="83">
        <v>1376.8387987725002</v>
      </c>
      <c r="E134" s="83"/>
      <c r="F134" s="83">
        <f>5122.038*2000/60</f>
        <v>170734.6</v>
      </c>
      <c r="G134" s="83">
        <v>377195.39114786976</v>
      </c>
      <c r="H134" s="83"/>
      <c r="I134" s="83"/>
      <c r="J134" s="83"/>
    </row>
    <row r="135" spans="1:10" x14ac:dyDescent="0.2">
      <c r="A135" t="s">
        <v>167</v>
      </c>
      <c r="B135" s="83">
        <f>J128</f>
        <v>196729</v>
      </c>
      <c r="C135" s="84">
        <f>[1]tab02!E62</f>
        <v>4296086</v>
      </c>
      <c r="D135" s="83">
        <f>D132+D133+D134</f>
        <v>5425.3390311644998</v>
      </c>
      <c r="E135" s="83">
        <f>SUM(B135:D135)</f>
        <v>4498240.3390311645</v>
      </c>
      <c r="F135" s="83">
        <f>F132+F133+F134</f>
        <v>484882.03333333333</v>
      </c>
      <c r="G135" s="83">
        <f>G132+G133+G134</f>
        <v>925883.60658795759</v>
      </c>
      <c r="H135" s="83">
        <f>I135-F135-G135</f>
        <v>188418.69910987373</v>
      </c>
      <c r="I135" s="83">
        <f>E135-J135</f>
        <v>1599184.3390311645</v>
      </c>
      <c r="J135" s="83">
        <f>[1]tab01!D90</f>
        <v>2899056</v>
      </c>
    </row>
    <row r="136" spans="1:10" x14ac:dyDescent="0.2">
      <c r="A136" t="s">
        <v>175</v>
      </c>
      <c r="B136" s="83"/>
      <c r="C136" s="83"/>
      <c r="D136" s="83">
        <v>1171.241446326</v>
      </c>
      <c r="E136" s="83"/>
      <c r="F136" s="83">
        <f>5071.493*2000/60</f>
        <v>169049.76666666666</v>
      </c>
      <c r="G136" s="83">
        <v>293285.02573705022</v>
      </c>
      <c r="H136" s="83"/>
      <c r="I136" s="83"/>
      <c r="J136" s="83"/>
    </row>
    <row r="137" spans="1:10" x14ac:dyDescent="0.2">
      <c r="A137" t="s">
        <v>176</v>
      </c>
      <c r="B137" s="83"/>
      <c r="C137" s="83"/>
      <c r="D137" s="83">
        <v>3204.7438833879</v>
      </c>
      <c r="E137" s="83"/>
      <c r="F137" s="83">
        <f>5139.706*2000/60</f>
        <v>171323.53333333333</v>
      </c>
      <c r="G137" s="83">
        <v>272748.44052989187</v>
      </c>
      <c r="H137" s="83"/>
      <c r="I137" s="83"/>
      <c r="J137" s="83"/>
    </row>
    <row r="138" spans="1:10" x14ac:dyDescent="0.2">
      <c r="A138" t="s">
        <v>177</v>
      </c>
      <c r="B138" s="83"/>
      <c r="C138" s="83"/>
      <c r="D138" s="83">
        <v>2260.6504472265001</v>
      </c>
      <c r="E138" s="83"/>
      <c r="F138" s="83">
        <f>4542.336*2000/60</f>
        <v>151411.20000000001</v>
      </c>
      <c r="G138" s="83">
        <v>162261.85750524121</v>
      </c>
      <c r="H138" s="83"/>
      <c r="I138" s="83"/>
      <c r="J138" s="83"/>
    </row>
    <row r="139" spans="1:10" x14ac:dyDescent="0.2">
      <c r="A139" t="s">
        <v>168</v>
      </c>
      <c r="B139" s="83">
        <f>J135</f>
        <v>2899056</v>
      </c>
      <c r="C139" s="77" t="s">
        <v>150</v>
      </c>
      <c r="D139" s="83">
        <f>D136+D137+D138</f>
        <v>6636.6357769404003</v>
      </c>
      <c r="E139" s="83">
        <f>SUM(B139:D139)</f>
        <v>2905692.6357769403</v>
      </c>
      <c r="F139" s="83">
        <f>F136+F137+F138</f>
        <v>491784.5</v>
      </c>
      <c r="G139" s="83">
        <f>G136+G137+G138</f>
        <v>728295.32377218327</v>
      </c>
      <c r="H139" s="83">
        <f>I139-F139-G139</f>
        <v>-53320.187995243003</v>
      </c>
      <c r="I139" s="83">
        <f>E139-J139</f>
        <v>1166759.6357769403</v>
      </c>
      <c r="J139" s="83">
        <f>[1]tab01!D91</f>
        <v>1738933</v>
      </c>
    </row>
    <row r="140" spans="1:10" x14ac:dyDescent="0.2">
      <c r="A140" t="s">
        <v>178</v>
      </c>
      <c r="B140" s="83"/>
      <c r="C140" s="83"/>
      <c r="D140" s="84">
        <v>2222.236194906</v>
      </c>
      <c r="E140" s="84"/>
      <c r="F140" s="83">
        <f>4822.961*2000/60</f>
        <v>160765.36666666667</v>
      </c>
      <c r="G140" s="84">
        <v>114662.43159340622</v>
      </c>
      <c r="H140" s="83"/>
      <c r="I140" s="83"/>
      <c r="J140" s="83"/>
    </row>
    <row r="141" spans="1:10" x14ac:dyDescent="0.2">
      <c r="A141" t="s">
        <v>179</v>
      </c>
      <c r="B141" s="83"/>
      <c r="C141" s="83"/>
      <c r="D141" s="84">
        <v>1604.5448722526999</v>
      </c>
      <c r="E141" s="84"/>
      <c r="F141" s="83">
        <f>4509.463*2000/60</f>
        <v>150315.43333333332</v>
      </c>
      <c r="G141" s="84">
        <v>89379.571790077796</v>
      </c>
      <c r="H141" s="83"/>
      <c r="I141" s="83"/>
      <c r="J141" s="83"/>
    </row>
    <row r="142" spans="1:10" x14ac:dyDescent="0.2">
      <c r="A142" t="s">
        <v>180</v>
      </c>
      <c r="B142" s="83"/>
      <c r="C142" s="83"/>
      <c r="D142" s="84">
        <v>2126.7561472206003</v>
      </c>
      <c r="E142" s="84"/>
      <c r="F142" s="83">
        <f>4739.387*2000/60</f>
        <v>157979.56666666668</v>
      </c>
      <c r="G142" s="84">
        <v>53277.266951269201</v>
      </c>
      <c r="H142" s="83"/>
      <c r="I142" s="83"/>
      <c r="J142" s="83"/>
    </row>
    <row r="143" spans="1:10" x14ac:dyDescent="0.2">
      <c r="A143" t="s">
        <v>164</v>
      </c>
      <c r="B143" s="83">
        <f>J139</f>
        <v>1738933</v>
      </c>
      <c r="C143" s="77" t="s">
        <v>150</v>
      </c>
      <c r="D143" s="83">
        <f>D140+D141+D142</f>
        <v>5953.5372143793002</v>
      </c>
      <c r="E143" s="83">
        <f>SUM(B143:D143)</f>
        <v>1744886.5372143793</v>
      </c>
      <c r="F143" s="83">
        <f>F140+F141+F142</f>
        <v>469060.3666666667</v>
      </c>
      <c r="G143" s="83">
        <f>G140+G141+G142</f>
        <v>257319.27033475324</v>
      </c>
      <c r="H143" s="83">
        <f>I143-F143-G143</f>
        <v>52650.900212959357</v>
      </c>
      <c r="I143" s="83">
        <f>E143-J143</f>
        <v>779030.53721437929</v>
      </c>
      <c r="J143" s="83">
        <f>[1]tab01!D92</f>
        <v>965856</v>
      </c>
    </row>
    <row r="144" spans="1:10" x14ac:dyDescent="0.2">
      <c r="A144" t="s">
        <v>181</v>
      </c>
      <c r="B144" s="83"/>
      <c r="C144" s="83"/>
      <c r="D144" s="84">
        <v>1053.7583524880999</v>
      </c>
      <c r="E144" s="84"/>
      <c r="F144" s="83">
        <f>4446.863*2000/60</f>
        <v>148228.76666666666</v>
      </c>
      <c r="G144" s="84">
        <v>65971.522682524199</v>
      </c>
      <c r="H144" s="83"/>
      <c r="I144" s="83"/>
      <c r="J144" s="83"/>
    </row>
    <row r="145" spans="1:10" x14ac:dyDescent="0.2">
      <c r="A145" t="s">
        <v>182</v>
      </c>
      <c r="B145" s="83"/>
      <c r="C145" s="83"/>
      <c r="D145" s="84">
        <v>1718.3464310690999</v>
      </c>
      <c r="E145" s="84"/>
      <c r="F145" s="83">
        <f>4668.68*2000/60</f>
        <v>155622.66666666666</v>
      </c>
      <c r="G145" s="84">
        <v>83149.622890683298</v>
      </c>
      <c r="H145" s="83"/>
      <c r="I145" s="83"/>
      <c r="J145" s="83"/>
    </row>
    <row r="146" spans="1:10" x14ac:dyDescent="0.2">
      <c r="A146" t="s">
        <v>183</v>
      </c>
      <c r="B146" s="83"/>
      <c r="C146" s="83"/>
      <c r="D146" s="84">
        <v>1454.1597424808999</v>
      </c>
      <c r="E146" s="84"/>
      <c r="F146" s="83">
        <f>4548.592*2000/60</f>
        <v>151619.73333333334</v>
      </c>
      <c r="G146" s="84">
        <v>113033.19546916531</v>
      </c>
      <c r="H146" s="83"/>
      <c r="I146" s="83"/>
      <c r="J146" s="83"/>
    </row>
    <row r="147" spans="1:10" x14ac:dyDescent="0.2">
      <c r="A147" t="s">
        <v>165</v>
      </c>
      <c r="B147" s="83">
        <f>J143</f>
        <v>965856</v>
      </c>
      <c r="C147" s="77" t="s">
        <v>150</v>
      </c>
      <c r="D147" s="83">
        <f>D144+D145+D146</f>
        <v>4226.2645260380996</v>
      </c>
      <c r="E147" s="83">
        <f>SUM(B147:D147)</f>
        <v>970082.26452603808</v>
      </c>
      <c r="F147" s="83">
        <f>F144+F145+F146</f>
        <v>455471.16666666669</v>
      </c>
      <c r="G147" s="83">
        <f>G144+G145+G146</f>
        <v>262154.34104237281</v>
      </c>
      <c r="H147" s="83">
        <f>I147-F147-G147</f>
        <v>-49138.24318300141</v>
      </c>
      <c r="I147" s="83">
        <f>E147-J147</f>
        <v>668487.26452603808</v>
      </c>
      <c r="J147" s="83">
        <f>[1]tab01!D93</f>
        <v>301595</v>
      </c>
    </row>
    <row r="148" spans="1:10" x14ac:dyDescent="0.2">
      <c r="A148" t="s">
        <v>170</v>
      </c>
      <c r="B148" s="83"/>
      <c r="C148" s="83">
        <f>SUM(C135:C147)</f>
        <v>4296086</v>
      </c>
      <c r="D148" s="83">
        <f>D135+D139+D143+D147</f>
        <v>22241.776548522299</v>
      </c>
      <c r="E148" s="83">
        <f>B135+D148+C148</f>
        <v>4515056.7765485225</v>
      </c>
      <c r="F148" s="83">
        <f>F135+F139+F143+F147</f>
        <v>1901198.0666666667</v>
      </c>
      <c r="G148" s="83">
        <f>G135+G139+G143+G147</f>
        <v>2173652.5417372668</v>
      </c>
      <c r="H148" s="83">
        <f>H135+H139+H143+H147</f>
        <v>138611.16814458868</v>
      </c>
      <c r="I148" s="83">
        <f>I135+I139+I143+I147</f>
        <v>4213461.7765485225</v>
      </c>
      <c r="J148" s="83"/>
    </row>
    <row r="149" spans="1:10" x14ac:dyDescent="0.2">
      <c r="B149" s="83"/>
      <c r="C149" s="83"/>
      <c r="D149" s="83"/>
      <c r="E149" s="83"/>
      <c r="F149" s="83"/>
      <c r="G149" s="83"/>
      <c r="H149" s="83"/>
      <c r="I149" s="83"/>
      <c r="J149" s="83"/>
    </row>
    <row r="150" spans="1:10" x14ac:dyDescent="0.2">
      <c r="A150" t="s">
        <v>45</v>
      </c>
      <c r="B150" s="83"/>
      <c r="C150" s="83"/>
      <c r="D150" s="83"/>
      <c r="E150" s="83"/>
      <c r="F150" s="83"/>
      <c r="G150" s="83"/>
      <c r="H150" s="83"/>
      <c r="I150" s="83"/>
      <c r="J150" s="83"/>
    </row>
    <row r="151" spans="1:10" x14ac:dyDescent="0.2">
      <c r="A151" t="s">
        <v>172</v>
      </c>
      <c r="B151" s="83"/>
      <c r="C151" s="83"/>
      <c r="D151" s="84">
        <v>1351.522573191</v>
      </c>
      <c r="E151" s="83"/>
      <c r="F151" s="84">
        <v>145373.56666666668</v>
      </c>
      <c r="G151" s="84">
        <v>170513.23875670979</v>
      </c>
      <c r="H151" s="83"/>
      <c r="I151" s="83"/>
      <c r="J151" s="83"/>
    </row>
    <row r="152" spans="1:10" x14ac:dyDescent="0.2">
      <c r="A152" t="s">
        <v>173</v>
      </c>
      <c r="B152" s="83"/>
      <c r="C152" s="83"/>
      <c r="D152" s="84">
        <v>2839.4991227610003</v>
      </c>
      <c r="E152" s="83"/>
      <c r="F152" s="84">
        <v>175913.23333333334</v>
      </c>
      <c r="G152" s="84">
        <v>346907.26870543382</v>
      </c>
      <c r="H152" s="83"/>
      <c r="I152" s="83"/>
      <c r="J152" s="83"/>
    </row>
    <row r="153" spans="1:10" x14ac:dyDescent="0.2">
      <c r="A153" t="s">
        <v>174</v>
      </c>
      <c r="B153" s="83"/>
      <c r="C153" s="83"/>
      <c r="D153" s="84">
        <v>1427.7526331900999</v>
      </c>
      <c r="E153" s="83"/>
      <c r="F153" s="84">
        <v>173348.73333333334</v>
      </c>
      <c r="G153" s="84">
        <v>331883.90658876818</v>
      </c>
      <c r="H153" s="83"/>
      <c r="I153" s="83"/>
      <c r="J153" s="83"/>
    </row>
    <row r="154" spans="1:10" x14ac:dyDescent="0.2">
      <c r="A154" t="s">
        <v>167</v>
      </c>
      <c r="B154" s="83">
        <f>J147</f>
        <v>301595</v>
      </c>
      <c r="C154" s="84">
        <f>[1]tab02!E63</f>
        <v>4391553</v>
      </c>
      <c r="D154" s="83">
        <f>D151+D152+D153</f>
        <v>5618.7743291421002</v>
      </c>
      <c r="E154" s="83">
        <f>SUM(B154:D154)</f>
        <v>4698766.7743291417</v>
      </c>
      <c r="F154" s="83">
        <f>F151+F152+F153</f>
        <v>494635.53333333338</v>
      </c>
      <c r="G154" s="83">
        <f>G151+G152+G153</f>
        <v>849304.41405091179</v>
      </c>
      <c r="H154" s="83">
        <f>I154-F154-G154</f>
        <v>197806.82694489649</v>
      </c>
      <c r="I154" s="83">
        <f>E154-J154</f>
        <v>1541746.7743291417</v>
      </c>
      <c r="J154" s="83">
        <f>[1]tab01!D95</f>
        <v>3157020</v>
      </c>
    </row>
    <row r="155" spans="1:10" x14ac:dyDescent="0.2">
      <c r="A155" s="16"/>
      <c r="B155" s="85"/>
      <c r="C155" s="86"/>
      <c r="D155" s="85"/>
      <c r="E155" s="85"/>
      <c r="F155" s="85"/>
      <c r="G155" s="85"/>
      <c r="H155" s="85"/>
      <c r="I155" s="85"/>
      <c r="J155" s="85"/>
    </row>
    <row r="156" spans="1:10" x14ac:dyDescent="0.2">
      <c r="A156" t="s">
        <v>184</v>
      </c>
      <c r="B156" s="83"/>
      <c r="C156" s="77"/>
      <c r="D156" s="83"/>
      <c r="E156" s="83"/>
      <c r="F156" s="83"/>
      <c r="G156" s="83"/>
      <c r="H156" s="83"/>
      <c r="I156" s="83"/>
      <c r="J156" s="83"/>
    </row>
    <row r="157" spans="1:10" ht="10.15" customHeight="1" x14ac:dyDescent="0.2">
      <c r="A157" t="s">
        <v>185</v>
      </c>
      <c r="B157" s="83"/>
      <c r="C157" s="77"/>
      <c r="D157" s="83"/>
      <c r="E157" s="83"/>
      <c r="F157" s="83"/>
      <c r="G157" s="83"/>
      <c r="H157" s="83"/>
      <c r="J157" s="51" t="s">
        <v>47</v>
      </c>
    </row>
    <row r="158" spans="1:10" x14ac:dyDescent="0.2">
      <c r="B158" s="83"/>
      <c r="C158" s="83"/>
      <c r="D158" s="83"/>
      <c r="E158" s="83"/>
      <c r="F158" s="83"/>
      <c r="G158" s="83"/>
      <c r="H158" s="83"/>
    </row>
    <row r="159" spans="1:10" x14ac:dyDescent="0.2">
      <c r="B159" s="83"/>
      <c r="C159" s="83"/>
      <c r="D159" s="83"/>
      <c r="E159" s="83"/>
      <c r="F159" s="83"/>
      <c r="G159" s="83"/>
      <c r="H159" s="83"/>
      <c r="I159" s="83"/>
      <c r="J159" s="83"/>
    </row>
    <row r="160" spans="1:10" x14ac:dyDescent="0.2">
      <c r="B160" s="83"/>
      <c r="C160" s="83"/>
      <c r="D160" s="83"/>
      <c r="E160" s="83"/>
      <c r="F160" s="83"/>
      <c r="G160" s="83"/>
      <c r="H160" s="83"/>
      <c r="I160" s="83"/>
      <c r="J160" s="83"/>
    </row>
    <row r="161" spans="2:10" x14ac:dyDescent="0.2">
      <c r="B161" s="83"/>
      <c r="C161" s="83"/>
      <c r="D161" s="83"/>
      <c r="E161" s="83"/>
      <c r="F161" s="83"/>
      <c r="G161" s="83"/>
      <c r="H161" s="83"/>
      <c r="I161" s="83"/>
      <c r="J161" s="83"/>
    </row>
    <row r="162" spans="2:10" x14ac:dyDescent="0.2">
      <c r="B162" s="83"/>
      <c r="C162" s="77"/>
      <c r="D162" s="83"/>
      <c r="E162" s="83"/>
      <c r="F162" s="83"/>
      <c r="G162" s="83"/>
      <c r="H162" s="83"/>
      <c r="I162" s="83"/>
      <c r="J162" s="83"/>
    </row>
    <row r="163" spans="2:10" x14ac:dyDescent="0.2">
      <c r="B163" s="83"/>
      <c r="C163" s="77"/>
      <c r="D163" s="83"/>
      <c r="E163" s="83"/>
      <c r="F163" s="83"/>
      <c r="G163" s="83"/>
      <c r="H163" s="83"/>
      <c r="I163" s="83"/>
      <c r="J163" s="83"/>
    </row>
    <row r="164" spans="2:10" x14ac:dyDescent="0.2">
      <c r="B164" s="83"/>
      <c r="C164" s="77"/>
      <c r="D164" s="83"/>
      <c r="E164" s="83"/>
      <c r="F164" s="83"/>
      <c r="G164" s="83"/>
      <c r="H164" s="83"/>
      <c r="I164" s="83"/>
      <c r="J164" s="83"/>
    </row>
    <row r="165" spans="2:10" x14ac:dyDescent="0.2">
      <c r="B165" s="83"/>
      <c r="C165" s="83"/>
      <c r="D165" s="83"/>
      <c r="E165" s="83"/>
      <c r="F165" s="83"/>
      <c r="G165" s="83"/>
      <c r="H165" s="83"/>
      <c r="I165" s="83"/>
      <c r="J165" s="83"/>
    </row>
    <row r="166" spans="2:10" x14ac:dyDescent="0.2">
      <c r="B166" s="83"/>
      <c r="C166" s="83"/>
      <c r="D166" s="83"/>
      <c r="E166" s="83"/>
      <c r="F166" s="83"/>
      <c r="G166" s="83"/>
      <c r="H166" s="83"/>
      <c r="I166" s="83"/>
      <c r="J166" s="83"/>
    </row>
    <row r="167" spans="2:10" x14ac:dyDescent="0.2">
      <c r="B167" s="83"/>
      <c r="C167" s="83"/>
      <c r="D167" s="83"/>
      <c r="E167" s="83"/>
      <c r="F167" s="83"/>
      <c r="G167" s="83"/>
      <c r="H167" s="83"/>
      <c r="I167" s="83"/>
      <c r="J167" s="83"/>
    </row>
    <row r="168" spans="2:10" x14ac:dyDescent="0.2">
      <c r="B168" s="83"/>
      <c r="C168" s="83"/>
      <c r="D168" s="83"/>
      <c r="E168" s="83"/>
      <c r="F168" s="83"/>
      <c r="G168" s="83"/>
      <c r="H168" s="83"/>
      <c r="I168" s="83"/>
      <c r="J168" s="83"/>
    </row>
    <row r="169" spans="2:10" x14ac:dyDescent="0.2">
      <c r="B169" s="83"/>
      <c r="C169" s="77"/>
      <c r="D169" s="83"/>
      <c r="E169" s="83"/>
      <c r="F169" s="83"/>
      <c r="G169" s="83"/>
      <c r="H169" s="83"/>
      <c r="I169" s="83"/>
      <c r="J169" s="83"/>
    </row>
    <row r="170" spans="2:10" x14ac:dyDescent="0.2">
      <c r="B170" s="83"/>
      <c r="C170" s="77"/>
      <c r="D170" s="83"/>
      <c r="E170" s="83"/>
      <c r="F170" s="83"/>
      <c r="G170" s="83"/>
      <c r="H170" s="83"/>
      <c r="I170" s="83"/>
      <c r="J170" s="83"/>
    </row>
    <row r="171" spans="2:10" x14ac:dyDescent="0.2">
      <c r="B171" s="83"/>
      <c r="C171" s="77"/>
      <c r="D171" s="83"/>
      <c r="E171" s="83"/>
      <c r="F171" s="83"/>
      <c r="G171" s="83"/>
      <c r="H171" s="83"/>
      <c r="I171" s="83"/>
      <c r="J171" s="83"/>
    </row>
    <row r="172" spans="2:10" x14ac:dyDescent="0.2">
      <c r="B172" s="83"/>
      <c r="C172" s="83"/>
      <c r="D172" s="83"/>
      <c r="E172" s="83"/>
      <c r="F172" s="83"/>
      <c r="G172" s="83"/>
      <c r="H172" s="83"/>
      <c r="I172" s="83"/>
      <c r="J172" s="83"/>
    </row>
    <row r="173" spans="2:10" x14ac:dyDescent="0.2">
      <c r="B173" s="83"/>
      <c r="C173" s="83"/>
      <c r="D173" s="83"/>
      <c r="E173" s="83"/>
      <c r="F173" s="83"/>
      <c r="G173" s="83"/>
      <c r="H173" s="83"/>
      <c r="I173" s="83"/>
      <c r="J173" s="83"/>
    </row>
    <row r="174" spans="2:10" x14ac:dyDescent="0.2">
      <c r="B174" s="83"/>
      <c r="C174" s="83"/>
      <c r="D174" s="83"/>
      <c r="E174" s="83"/>
      <c r="F174" s="83"/>
      <c r="G174" s="83"/>
      <c r="H174" s="83"/>
      <c r="I174" s="83"/>
      <c r="J174" s="83"/>
    </row>
    <row r="175" spans="2:10" x14ac:dyDescent="0.2">
      <c r="B175" s="83"/>
      <c r="C175" s="83"/>
      <c r="D175" s="83"/>
      <c r="E175" s="83"/>
      <c r="F175" s="83"/>
      <c r="G175" s="83"/>
      <c r="H175" s="83"/>
      <c r="I175" s="83"/>
      <c r="J175" s="83"/>
    </row>
    <row r="176" spans="2:10" x14ac:dyDescent="0.2">
      <c r="B176" s="83"/>
      <c r="C176" s="77"/>
      <c r="D176" s="83"/>
      <c r="E176" s="83"/>
      <c r="F176" s="83"/>
      <c r="G176" s="83"/>
      <c r="H176" s="83"/>
      <c r="I176" s="83"/>
      <c r="J176" s="83"/>
    </row>
    <row r="177" spans="2:10" x14ac:dyDescent="0.2">
      <c r="B177" s="83"/>
      <c r="C177" s="77"/>
      <c r="D177" s="83"/>
      <c r="E177" s="83"/>
      <c r="F177" s="83"/>
      <c r="G177" s="83"/>
      <c r="H177" s="83"/>
      <c r="I177" s="83"/>
      <c r="J177" s="83"/>
    </row>
    <row r="178" spans="2:10" x14ac:dyDescent="0.2">
      <c r="B178" s="83"/>
      <c r="C178" s="77"/>
      <c r="D178" s="83"/>
      <c r="E178" s="83"/>
      <c r="F178" s="83"/>
      <c r="G178" s="83"/>
      <c r="H178" s="83"/>
      <c r="I178" s="83"/>
      <c r="J178" s="83"/>
    </row>
    <row r="179" spans="2:10" x14ac:dyDescent="0.2">
      <c r="B179" s="83"/>
      <c r="C179" s="83"/>
      <c r="D179" s="83"/>
      <c r="E179" s="83"/>
      <c r="F179" s="83"/>
      <c r="G179" s="83"/>
      <c r="H179" s="83"/>
      <c r="I179" s="83"/>
      <c r="J179" s="83"/>
    </row>
    <row r="180" spans="2:10" x14ac:dyDescent="0.2">
      <c r="B180" s="83"/>
      <c r="C180" s="83"/>
      <c r="D180" s="83"/>
      <c r="E180" s="83"/>
      <c r="F180" s="83"/>
      <c r="G180" s="83"/>
      <c r="H180" s="83"/>
      <c r="I180" s="83"/>
      <c r="J180" s="83"/>
    </row>
    <row r="181" spans="2:10" x14ac:dyDescent="0.2">
      <c r="B181" s="83"/>
      <c r="C181" s="83"/>
      <c r="D181" s="83"/>
      <c r="E181" s="83"/>
      <c r="F181" s="83"/>
      <c r="G181" s="83"/>
      <c r="H181" s="83"/>
      <c r="I181" s="83"/>
      <c r="J181" s="83"/>
    </row>
    <row r="182" spans="2:10" x14ac:dyDescent="0.2">
      <c r="B182" s="83"/>
      <c r="C182" s="83"/>
      <c r="D182" s="83"/>
      <c r="E182" s="83"/>
      <c r="F182" s="83"/>
      <c r="G182" s="83"/>
      <c r="H182" s="83"/>
      <c r="I182" s="83"/>
      <c r="J182" s="83"/>
    </row>
    <row r="183" spans="2:10" x14ac:dyDescent="0.2">
      <c r="B183" s="83"/>
      <c r="C183" s="77"/>
      <c r="D183" s="83"/>
      <c r="E183" s="83"/>
      <c r="F183" s="83"/>
      <c r="G183" s="83"/>
      <c r="H183" s="83"/>
      <c r="I183" s="83"/>
      <c r="J183" s="83"/>
    </row>
    <row r="184" spans="2:10" x14ac:dyDescent="0.2">
      <c r="B184" s="83"/>
      <c r="C184" s="77"/>
      <c r="D184" s="83"/>
      <c r="E184" s="83"/>
      <c r="F184" s="83"/>
      <c r="G184" s="83"/>
      <c r="H184" s="83"/>
      <c r="I184" s="83"/>
      <c r="J184" s="83"/>
    </row>
    <row r="185" spans="2:10" x14ac:dyDescent="0.2">
      <c r="B185" s="83"/>
      <c r="C185" s="77"/>
      <c r="D185" s="83"/>
      <c r="E185" s="83"/>
      <c r="F185" s="83"/>
      <c r="G185" s="83"/>
      <c r="H185" s="83"/>
      <c r="I185" s="83"/>
      <c r="J185" s="83"/>
    </row>
    <row r="186" spans="2:10" x14ac:dyDescent="0.2">
      <c r="B186" s="83"/>
      <c r="C186" s="83"/>
      <c r="D186" s="83"/>
      <c r="E186" s="83"/>
      <c r="F186" s="83"/>
      <c r="G186" s="83"/>
      <c r="H186" s="83"/>
      <c r="I186" s="83"/>
      <c r="J186" s="83"/>
    </row>
    <row r="187" spans="2:10" x14ac:dyDescent="0.2">
      <c r="B187" s="83"/>
      <c r="C187" s="83"/>
      <c r="D187" s="83"/>
      <c r="E187" s="83"/>
      <c r="F187" s="83"/>
      <c r="G187" s="83"/>
      <c r="H187" s="83"/>
      <c r="I187" s="83"/>
      <c r="J187" s="83"/>
    </row>
    <row r="188" spans="2:10" x14ac:dyDescent="0.2">
      <c r="B188" s="83"/>
      <c r="C188" s="83"/>
      <c r="D188" s="83"/>
      <c r="E188" s="83"/>
      <c r="F188" s="83"/>
      <c r="G188" s="83"/>
      <c r="H188" s="83"/>
      <c r="I188" s="83"/>
      <c r="J188" s="83"/>
    </row>
    <row r="189" spans="2:10" x14ac:dyDescent="0.2">
      <c r="B189" s="83"/>
      <c r="C189" s="83"/>
      <c r="D189" s="83"/>
      <c r="E189" s="83"/>
      <c r="F189" s="83"/>
      <c r="G189" s="83"/>
      <c r="H189" s="83"/>
      <c r="I189" s="83"/>
      <c r="J189" s="83"/>
    </row>
    <row r="190" spans="2:10" x14ac:dyDescent="0.2">
      <c r="B190" s="83"/>
      <c r="C190" s="77"/>
      <c r="D190" s="83"/>
      <c r="E190" s="83"/>
      <c r="F190" s="83"/>
      <c r="G190" s="83"/>
      <c r="H190" s="83"/>
      <c r="I190" s="83"/>
      <c r="J190" s="83"/>
    </row>
    <row r="191" spans="2:10" x14ac:dyDescent="0.2">
      <c r="B191" s="83"/>
      <c r="C191" s="77"/>
      <c r="D191" s="83"/>
      <c r="E191" s="83"/>
      <c r="F191" s="83"/>
      <c r="G191" s="83"/>
      <c r="H191" s="83"/>
      <c r="I191" s="83"/>
      <c r="J191" s="83"/>
    </row>
    <row r="192" spans="2:10" x14ac:dyDescent="0.2">
      <c r="B192" s="83"/>
      <c r="C192" s="77"/>
      <c r="D192" s="83"/>
      <c r="E192" s="83"/>
      <c r="F192" s="83"/>
      <c r="G192" s="83"/>
      <c r="H192" s="83"/>
      <c r="I192" s="83"/>
      <c r="J192" s="83"/>
    </row>
    <row r="193" spans="2:10" x14ac:dyDescent="0.2">
      <c r="B193" s="83"/>
      <c r="C193" s="83"/>
      <c r="D193" s="83"/>
      <c r="E193" s="83"/>
      <c r="F193" s="83"/>
      <c r="G193" s="83"/>
      <c r="H193" s="83"/>
      <c r="I193" s="83"/>
      <c r="J193" s="83"/>
    </row>
    <row r="194" spans="2:10" x14ac:dyDescent="0.2">
      <c r="B194" s="83"/>
      <c r="C194" s="83"/>
      <c r="D194" s="83"/>
      <c r="E194" s="83"/>
      <c r="F194" s="83"/>
      <c r="G194" s="83"/>
      <c r="H194" s="83"/>
      <c r="I194" s="83"/>
      <c r="J194" s="83"/>
    </row>
    <row r="195" spans="2:10" x14ac:dyDescent="0.2">
      <c r="B195" s="83"/>
      <c r="C195" s="83"/>
      <c r="D195" s="83"/>
      <c r="E195" s="83"/>
      <c r="F195" s="83"/>
      <c r="G195" s="83"/>
      <c r="H195" s="83"/>
      <c r="I195" s="83"/>
      <c r="J195" s="83"/>
    </row>
    <row r="196" spans="2:10" x14ac:dyDescent="0.2">
      <c r="B196" s="83"/>
      <c r="C196" s="83"/>
      <c r="D196" s="83"/>
      <c r="E196" s="83"/>
      <c r="F196" s="83"/>
      <c r="G196" s="83"/>
      <c r="H196" s="83"/>
      <c r="I196" s="83"/>
      <c r="J196" s="83"/>
    </row>
    <row r="197" spans="2:10" x14ac:dyDescent="0.2">
      <c r="B197" s="83"/>
      <c r="C197" s="77"/>
      <c r="D197" s="83"/>
      <c r="E197" s="83"/>
      <c r="F197" s="83"/>
      <c r="G197" s="83"/>
      <c r="H197" s="83"/>
      <c r="I197" s="83"/>
      <c r="J197" s="83"/>
    </row>
    <row r="198" spans="2:10" x14ac:dyDescent="0.2">
      <c r="B198" s="83"/>
      <c r="C198" s="77"/>
      <c r="D198" s="83"/>
      <c r="E198" s="83"/>
      <c r="F198" s="83"/>
      <c r="G198" s="83"/>
      <c r="H198" s="83"/>
      <c r="I198" s="83"/>
      <c r="J198" s="83"/>
    </row>
    <row r="199" spans="2:10" x14ac:dyDescent="0.2">
      <c r="B199" s="83"/>
      <c r="C199" s="77"/>
      <c r="D199" s="83"/>
      <c r="E199" s="83"/>
      <c r="F199" s="83"/>
      <c r="G199" s="83"/>
      <c r="H199" s="83"/>
      <c r="I199" s="83"/>
      <c r="J199" s="83"/>
    </row>
    <row r="200" spans="2:10" x14ac:dyDescent="0.2">
      <c r="B200" s="83"/>
      <c r="C200" s="83"/>
      <c r="D200" s="83"/>
      <c r="E200" s="83"/>
      <c r="F200" s="83"/>
      <c r="G200" s="83"/>
      <c r="H200" s="83"/>
      <c r="I200" s="83"/>
      <c r="J200" s="83"/>
    </row>
    <row r="201" spans="2:10" x14ac:dyDescent="0.2">
      <c r="B201" s="83"/>
      <c r="C201" s="83"/>
      <c r="D201" s="83"/>
      <c r="E201" s="83"/>
      <c r="F201" s="83"/>
      <c r="G201" s="83"/>
      <c r="H201" s="83"/>
      <c r="I201" s="83"/>
      <c r="J201" s="83"/>
    </row>
    <row r="202" spans="2:10" x14ac:dyDescent="0.2">
      <c r="B202" s="83"/>
      <c r="C202" s="83"/>
      <c r="D202" s="83"/>
      <c r="E202" s="83"/>
      <c r="F202" s="83"/>
      <c r="G202" s="83"/>
      <c r="H202" s="83"/>
      <c r="I202" s="83"/>
      <c r="J202" s="83"/>
    </row>
    <row r="203" spans="2:10" x14ac:dyDescent="0.2">
      <c r="B203" s="83"/>
      <c r="C203" s="83"/>
      <c r="D203" s="83"/>
      <c r="E203" s="83"/>
      <c r="F203" s="83"/>
      <c r="G203" s="83"/>
      <c r="H203" s="83"/>
      <c r="I203" s="83"/>
      <c r="J203" s="83"/>
    </row>
    <row r="204" spans="2:10" x14ac:dyDescent="0.2">
      <c r="B204" s="83"/>
      <c r="C204" s="77"/>
      <c r="D204" s="83"/>
      <c r="E204" s="83"/>
      <c r="F204" s="83"/>
      <c r="G204" s="83"/>
      <c r="H204" s="83"/>
      <c r="I204" s="83"/>
      <c r="J204" s="83"/>
    </row>
    <row r="205" spans="2:10" x14ac:dyDescent="0.2">
      <c r="B205" s="83"/>
      <c r="C205" s="77"/>
      <c r="D205" s="83"/>
      <c r="E205" s="83"/>
      <c r="F205" s="83"/>
      <c r="G205" s="83"/>
      <c r="H205" s="83"/>
      <c r="I205" s="83"/>
      <c r="J205" s="83"/>
    </row>
    <row r="206" spans="2:10" x14ac:dyDescent="0.2">
      <c r="B206" s="83"/>
      <c r="C206" s="77"/>
      <c r="D206" s="83"/>
      <c r="E206" s="83"/>
      <c r="F206" s="83"/>
      <c r="G206" s="83"/>
      <c r="H206" s="83"/>
      <c r="I206" s="83"/>
      <c r="J206" s="83"/>
    </row>
    <row r="207" spans="2:10" x14ac:dyDescent="0.2">
      <c r="B207" s="83"/>
      <c r="C207" s="83"/>
      <c r="D207" s="83"/>
      <c r="E207" s="83"/>
      <c r="F207" s="83"/>
      <c r="G207" s="83"/>
      <c r="H207" s="83"/>
      <c r="I207" s="83"/>
      <c r="J207" s="83"/>
    </row>
    <row r="208" spans="2:10" x14ac:dyDescent="0.2">
      <c r="B208" s="83"/>
      <c r="C208" s="83"/>
      <c r="D208" s="83"/>
      <c r="E208" s="83"/>
      <c r="F208" s="83"/>
      <c r="G208" s="83"/>
      <c r="H208" s="83"/>
      <c r="I208" s="83"/>
      <c r="J208" s="83"/>
    </row>
    <row r="209" spans="2:10" x14ac:dyDescent="0.2">
      <c r="B209" s="83"/>
      <c r="C209" s="83"/>
      <c r="D209" s="83"/>
      <c r="E209" s="83"/>
      <c r="F209" s="83"/>
      <c r="G209" s="83"/>
      <c r="H209" s="83"/>
      <c r="I209" s="83"/>
      <c r="J209" s="83"/>
    </row>
    <row r="210" spans="2:10" x14ac:dyDescent="0.2">
      <c r="B210" s="83"/>
      <c r="C210" s="83"/>
      <c r="D210" s="83"/>
      <c r="E210" s="83"/>
      <c r="F210" s="83"/>
      <c r="G210" s="83"/>
      <c r="H210" s="83"/>
      <c r="I210" s="83"/>
      <c r="J210" s="83"/>
    </row>
    <row r="211" spans="2:10" x14ac:dyDescent="0.2">
      <c r="B211" s="83"/>
      <c r="C211" s="77"/>
      <c r="D211" s="83"/>
      <c r="E211" s="83"/>
      <c r="F211" s="83"/>
      <c r="G211" s="83"/>
      <c r="H211" s="83"/>
      <c r="I211" s="83"/>
      <c r="J211" s="83"/>
    </row>
    <row r="212" spans="2:10" x14ac:dyDescent="0.2">
      <c r="B212" s="83"/>
      <c r="C212" s="77"/>
      <c r="D212" s="83"/>
      <c r="E212" s="83"/>
      <c r="F212" s="83"/>
      <c r="G212" s="83"/>
      <c r="H212" s="83"/>
      <c r="I212" s="83"/>
      <c r="J212" s="83"/>
    </row>
    <row r="213" spans="2:10" x14ac:dyDescent="0.2">
      <c r="B213" s="83"/>
      <c r="C213" s="77"/>
      <c r="D213" s="83"/>
      <c r="E213" s="83"/>
      <c r="F213" s="83"/>
      <c r="G213" s="83"/>
      <c r="H213" s="83"/>
      <c r="I213" s="83"/>
      <c r="J213" s="83"/>
    </row>
    <row r="214" spans="2:10" x14ac:dyDescent="0.2">
      <c r="B214" s="83"/>
      <c r="C214" s="83"/>
      <c r="D214" s="83"/>
      <c r="E214" s="83"/>
      <c r="F214" s="83"/>
      <c r="G214" s="83"/>
      <c r="H214" s="83"/>
      <c r="I214" s="83"/>
      <c r="J214" s="83"/>
    </row>
    <row r="215" spans="2:10" x14ac:dyDescent="0.2">
      <c r="B215" s="83"/>
      <c r="C215" s="83"/>
      <c r="D215" s="83"/>
      <c r="E215" s="83"/>
      <c r="F215" s="83"/>
      <c r="G215" s="83"/>
      <c r="H215" s="83"/>
      <c r="I215" s="83"/>
      <c r="J215" s="83"/>
    </row>
    <row r="216" spans="2:10" x14ac:dyDescent="0.2">
      <c r="B216" s="83"/>
      <c r="C216" s="83"/>
      <c r="D216" s="83"/>
      <c r="E216" s="83"/>
      <c r="F216" s="83"/>
      <c r="G216" s="83"/>
      <c r="H216" s="83"/>
      <c r="I216" s="83"/>
      <c r="J216" s="83"/>
    </row>
    <row r="217" spans="2:10" x14ac:dyDescent="0.2">
      <c r="B217" s="83"/>
      <c r="C217" s="83"/>
      <c r="D217" s="83"/>
      <c r="E217" s="83"/>
      <c r="F217" s="83"/>
      <c r="G217" s="83"/>
      <c r="H217" s="83"/>
      <c r="I217" s="83"/>
      <c r="J217" s="83"/>
    </row>
    <row r="218" spans="2:10" x14ac:dyDescent="0.2">
      <c r="B218" s="83"/>
      <c r="C218" s="77"/>
      <c r="D218" s="83"/>
      <c r="E218" s="83"/>
      <c r="F218" s="83"/>
      <c r="G218" s="83"/>
      <c r="H218" s="83"/>
      <c r="I218" s="83"/>
      <c r="J218" s="83"/>
    </row>
    <row r="219" spans="2:10" x14ac:dyDescent="0.2">
      <c r="B219" s="83"/>
      <c r="C219" s="77"/>
      <c r="D219" s="83"/>
      <c r="E219" s="83"/>
      <c r="F219" s="83"/>
      <c r="G219" s="83"/>
      <c r="H219" s="83"/>
      <c r="I219" s="83"/>
      <c r="J219" s="83"/>
    </row>
    <row r="220" spans="2:10" x14ac:dyDescent="0.2">
      <c r="B220" s="83"/>
      <c r="C220" s="77"/>
      <c r="D220" s="83"/>
      <c r="E220" s="83"/>
      <c r="F220" s="83"/>
      <c r="G220" s="83"/>
      <c r="H220" s="83"/>
      <c r="I220" s="83"/>
      <c r="J220" s="83"/>
    </row>
    <row r="221" spans="2:10" x14ac:dyDescent="0.2">
      <c r="B221" s="83"/>
      <c r="C221" s="83"/>
      <c r="D221" s="83"/>
      <c r="E221" s="83"/>
      <c r="F221" s="83"/>
      <c r="G221" s="83"/>
      <c r="H221" s="83"/>
      <c r="I221" s="83"/>
      <c r="J221" s="83"/>
    </row>
    <row r="222" spans="2:10" x14ac:dyDescent="0.2">
      <c r="B222" s="83"/>
      <c r="C222" s="83"/>
      <c r="D222" s="83"/>
      <c r="E222" s="83"/>
      <c r="F222" s="83"/>
      <c r="G222" s="83"/>
      <c r="H222" s="83"/>
      <c r="I222" s="83"/>
      <c r="J222" s="83"/>
    </row>
    <row r="223" spans="2:10" x14ac:dyDescent="0.2">
      <c r="B223" s="83"/>
      <c r="C223" s="83"/>
      <c r="D223" s="83"/>
      <c r="E223" s="83"/>
      <c r="F223" s="83"/>
      <c r="G223" s="83"/>
      <c r="H223" s="83"/>
      <c r="I223" s="83"/>
      <c r="J223" s="83"/>
    </row>
    <row r="224" spans="2:10" x14ac:dyDescent="0.2">
      <c r="B224" s="83"/>
      <c r="C224" s="83"/>
      <c r="D224" s="83"/>
      <c r="E224" s="83"/>
      <c r="F224" s="83"/>
      <c r="G224" s="83"/>
      <c r="H224" s="83"/>
      <c r="I224" s="83"/>
      <c r="J224" s="83"/>
    </row>
    <row r="225" spans="2:10" x14ac:dyDescent="0.2">
      <c r="B225" s="83"/>
      <c r="C225" s="77"/>
      <c r="D225" s="83"/>
      <c r="E225" s="83"/>
      <c r="F225" s="83"/>
      <c r="G225" s="83"/>
      <c r="H225" s="83"/>
      <c r="I225" s="83"/>
      <c r="J225" s="83"/>
    </row>
    <row r="226" spans="2:10" x14ac:dyDescent="0.2">
      <c r="B226" s="83"/>
      <c r="C226" s="77"/>
      <c r="D226" s="83"/>
      <c r="E226" s="83"/>
      <c r="F226" s="83"/>
      <c r="G226" s="83"/>
      <c r="H226" s="83"/>
      <c r="I226" s="83"/>
      <c r="J226" s="83"/>
    </row>
    <row r="227" spans="2:10" x14ac:dyDescent="0.2">
      <c r="B227" s="83"/>
      <c r="C227" s="77"/>
      <c r="D227" s="83"/>
      <c r="E227" s="83"/>
      <c r="F227" s="83"/>
      <c r="G227" s="83"/>
      <c r="H227" s="83"/>
      <c r="I227" s="83"/>
      <c r="J227" s="83"/>
    </row>
    <row r="228" spans="2:10" x14ac:dyDescent="0.2">
      <c r="B228" s="83"/>
      <c r="C228" s="83"/>
      <c r="D228" s="83"/>
      <c r="E228" s="83"/>
      <c r="F228" s="83"/>
      <c r="G228" s="83"/>
      <c r="H228" s="83"/>
      <c r="I228" s="83"/>
      <c r="J228" s="83"/>
    </row>
    <row r="229" spans="2:10" x14ac:dyDescent="0.2">
      <c r="B229" s="83"/>
      <c r="C229" s="83"/>
      <c r="D229" s="83"/>
      <c r="E229" s="83"/>
      <c r="F229" s="83"/>
      <c r="G229" s="83"/>
      <c r="H229" s="83"/>
      <c r="I229" s="83"/>
      <c r="J229" s="83"/>
    </row>
    <row r="230" spans="2:10" x14ac:dyDescent="0.2">
      <c r="B230" s="83"/>
      <c r="C230" s="83"/>
      <c r="D230" s="83"/>
      <c r="E230" s="83"/>
      <c r="F230" s="83"/>
      <c r="G230" s="83"/>
      <c r="H230" s="83"/>
      <c r="I230" s="83"/>
      <c r="J230" s="83"/>
    </row>
    <row r="231" spans="2:10" x14ac:dyDescent="0.2">
      <c r="B231" s="83"/>
      <c r="C231" s="83"/>
      <c r="D231" s="83"/>
      <c r="E231" s="83"/>
      <c r="F231" s="83"/>
      <c r="G231" s="83"/>
      <c r="H231" s="83"/>
      <c r="I231" s="83"/>
      <c r="J231" s="83"/>
    </row>
    <row r="232" spans="2:10" x14ac:dyDescent="0.2">
      <c r="B232" s="83"/>
      <c r="C232" s="77"/>
      <c r="D232" s="83"/>
      <c r="E232" s="83"/>
      <c r="F232" s="83"/>
      <c r="G232" s="83"/>
      <c r="H232" s="83"/>
      <c r="I232" s="83"/>
      <c r="J232" s="83"/>
    </row>
    <row r="233" spans="2:10" x14ac:dyDescent="0.2">
      <c r="B233" s="83"/>
      <c r="C233" s="77"/>
      <c r="D233" s="83"/>
      <c r="E233" s="83"/>
      <c r="F233" s="83"/>
      <c r="G233" s="83"/>
      <c r="H233" s="83"/>
      <c r="I233" s="83"/>
      <c r="J233" s="83"/>
    </row>
    <row r="234" spans="2:10" x14ac:dyDescent="0.2">
      <c r="B234" s="83"/>
      <c r="C234" s="77"/>
      <c r="D234" s="83"/>
      <c r="E234" s="83"/>
      <c r="F234" s="83"/>
      <c r="G234" s="83"/>
      <c r="H234" s="83"/>
      <c r="I234" s="83"/>
      <c r="J234" s="83"/>
    </row>
    <row r="235" spans="2:10" x14ac:dyDescent="0.2">
      <c r="B235" s="83"/>
      <c r="C235" s="83"/>
      <c r="D235" s="83"/>
      <c r="E235" s="83"/>
      <c r="F235" s="83"/>
      <c r="G235" s="83"/>
      <c r="H235" s="83"/>
      <c r="I235" s="83"/>
      <c r="J235" s="83"/>
    </row>
    <row r="236" spans="2:10" x14ac:dyDescent="0.2">
      <c r="B236" s="83"/>
      <c r="C236" s="83"/>
      <c r="D236" s="83"/>
      <c r="E236" s="83"/>
      <c r="F236" s="83"/>
      <c r="G236" s="83"/>
      <c r="H236" s="83"/>
      <c r="I236" s="83"/>
      <c r="J236" s="83"/>
    </row>
    <row r="237" spans="2:10" x14ac:dyDescent="0.2">
      <c r="B237" s="83"/>
      <c r="C237" s="83"/>
      <c r="D237" s="83"/>
      <c r="E237" s="83"/>
      <c r="F237" s="83"/>
      <c r="G237" s="83"/>
      <c r="H237" s="83"/>
      <c r="I237" s="83"/>
      <c r="J237" s="83"/>
    </row>
    <row r="238" spans="2:10" x14ac:dyDescent="0.2">
      <c r="B238" s="83"/>
      <c r="C238" s="83"/>
      <c r="D238" s="83"/>
      <c r="E238" s="83"/>
      <c r="F238" s="83"/>
      <c r="G238" s="83"/>
      <c r="H238" s="83"/>
      <c r="I238" s="83"/>
      <c r="J238" s="83"/>
    </row>
    <row r="239" spans="2:10" x14ac:dyDescent="0.2">
      <c r="B239" s="83"/>
      <c r="C239" s="77"/>
      <c r="D239" s="83"/>
      <c r="E239" s="83"/>
      <c r="F239" s="83"/>
      <c r="G239" s="83"/>
      <c r="H239" s="83"/>
      <c r="I239" s="83"/>
      <c r="J239" s="83"/>
    </row>
    <row r="240" spans="2:10" x14ac:dyDescent="0.2">
      <c r="B240" s="83"/>
      <c r="C240" s="77"/>
      <c r="D240" s="83"/>
      <c r="E240" s="83"/>
      <c r="F240" s="83"/>
      <c r="G240" s="83"/>
      <c r="H240" s="83"/>
      <c r="I240" s="83"/>
      <c r="J240" s="83"/>
    </row>
    <row r="241" spans="2:10" x14ac:dyDescent="0.2">
      <c r="B241" s="83"/>
      <c r="C241" s="77"/>
      <c r="D241" s="83"/>
      <c r="E241" s="83"/>
      <c r="F241" s="83"/>
      <c r="G241" s="83"/>
      <c r="H241" s="83"/>
      <c r="I241" s="83"/>
      <c r="J241" s="83"/>
    </row>
    <row r="242" spans="2:10" x14ac:dyDescent="0.2">
      <c r="B242" s="83"/>
      <c r="C242" s="83"/>
      <c r="D242" s="83"/>
      <c r="E242" s="83"/>
      <c r="F242" s="83"/>
      <c r="G242" s="83"/>
      <c r="H242" s="83"/>
      <c r="I242" s="83"/>
      <c r="J242" s="83"/>
    </row>
    <row r="243" spans="2:10" x14ac:dyDescent="0.2">
      <c r="B243" s="83"/>
      <c r="C243" s="83"/>
      <c r="D243" s="83"/>
      <c r="E243" s="83"/>
      <c r="F243" s="83"/>
      <c r="G243" s="83"/>
      <c r="H243" s="83"/>
      <c r="I243" s="83"/>
      <c r="J243" s="83"/>
    </row>
    <row r="330" spans="2:2" x14ac:dyDescent="0.2">
      <c r="B330" s="83"/>
    </row>
    <row r="331" spans="2:2" x14ac:dyDescent="0.2">
      <c r="B331" s="83"/>
    </row>
    <row r="340" spans="2:2" x14ac:dyDescent="0.2">
      <c r="B340" s="83"/>
    </row>
  </sheetData>
  <pageMargins left="0.25" right="0.25" top="0.75" bottom="0.75" header="0.3" footer="0.3"/>
  <pageSetup scale="75" firstPageNumber="33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235" max="9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93"/>
  <sheetViews>
    <sheetView zoomScale="106" zoomScaleNormal="106" zoomScaleSheetLayoutView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/>
    </sheetView>
  </sheetViews>
  <sheetFormatPr defaultRowHeight="11.25" x14ac:dyDescent="0.2"/>
  <cols>
    <col min="1" max="1" width="15.1640625" customWidth="1"/>
    <col min="2" max="5" width="12.6640625" customWidth="1"/>
    <col min="6" max="6" width="0.6640625" customWidth="1"/>
    <col min="7" max="10" width="12.6640625" customWidth="1"/>
  </cols>
  <sheetData>
    <row r="1" spans="1:10" x14ac:dyDescent="0.2">
      <c r="A1" s="32" t="s">
        <v>12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B2" s="18"/>
      <c r="C2" s="52" t="s">
        <v>186</v>
      </c>
      <c r="D2" s="18"/>
      <c r="E2" s="18"/>
      <c r="G2" s="17"/>
      <c r="H2" s="18" t="s">
        <v>187</v>
      </c>
      <c r="I2" s="18"/>
    </row>
    <row r="3" spans="1:10" x14ac:dyDescent="0.2">
      <c r="A3" t="s">
        <v>157</v>
      </c>
      <c r="B3" s="33" t="s">
        <v>111</v>
      </c>
      <c r="G3" s="37" t="s">
        <v>136</v>
      </c>
      <c r="J3" s="33" t="s">
        <v>113</v>
      </c>
    </row>
    <row r="4" spans="1:10" x14ac:dyDescent="0.2">
      <c r="A4" t="s">
        <v>110</v>
      </c>
      <c r="B4" s="37" t="s">
        <v>116</v>
      </c>
      <c r="C4" s="87" t="s">
        <v>52</v>
      </c>
      <c r="D4" s="80" t="s">
        <v>117</v>
      </c>
      <c r="E4" s="67" t="s">
        <v>21</v>
      </c>
      <c r="G4" s="33" t="s">
        <v>188</v>
      </c>
      <c r="H4" s="37" t="s">
        <v>120</v>
      </c>
      <c r="I4" s="88" t="s">
        <v>21</v>
      </c>
      <c r="J4" s="37" t="s">
        <v>116</v>
      </c>
    </row>
    <row r="5" spans="1:10" x14ac:dyDescent="0.2">
      <c r="A5" s="16" t="s">
        <v>189</v>
      </c>
      <c r="B5" s="16"/>
      <c r="C5" s="16"/>
      <c r="D5" s="16"/>
      <c r="E5" s="16"/>
      <c r="F5" s="16"/>
      <c r="G5" s="16"/>
      <c r="H5" s="16"/>
      <c r="I5" s="16"/>
      <c r="J5" s="16"/>
    </row>
    <row r="6" spans="1:10" x14ac:dyDescent="0.2">
      <c r="C6" s="19"/>
      <c r="D6" s="19"/>
      <c r="E6" s="89" t="s">
        <v>139</v>
      </c>
      <c r="F6" s="19"/>
      <c r="G6" s="19"/>
      <c r="H6" s="19"/>
      <c r="I6" s="19"/>
      <c r="J6" s="19"/>
    </row>
    <row r="7" spans="1:10" x14ac:dyDescent="0.2">
      <c r="A7" t="s">
        <v>35</v>
      </c>
      <c r="B7" s="21"/>
      <c r="C7" s="90"/>
      <c r="D7" s="90"/>
      <c r="E7" s="90"/>
      <c r="F7" s="90"/>
      <c r="G7" s="90"/>
      <c r="H7" s="90"/>
      <c r="I7" s="90"/>
      <c r="J7" s="91"/>
    </row>
    <row r="8" spans="1:10" x14ac:dyDescent="0.2">
      <c r="A8" t="s">
        <v>173</v>
      </c>
      <c r="B8" s="91">
        <f>308.205+34.764</f>
        <v>342.96899999999999</v>
      </c>
      <c r="C8" s="90">
        <f>3587.55509+281.92317</f>
        <v>3869.4782599999999</v>
      </c>
      <c r="D8" s="90">
        <f>(7928.249+2242+1077.358)*2.204622/2000</f>
        <v>12.398360919777</v>
      </c>
      <c r="E8" s="92">
        <f t="shared" ref="E8:E19" si="0">B8+C8+D8</f>
        <v>4224.8456209197766</v>
      </c>
      <c r="G8" s="92">
        <f t="shared" ref="G8:G19" si="1">I8-H8</f>
        <v>3210.5927098682037</v>
      </c>
      <c r="H8" s="91">
        <f>((529.163932+6.5+107.626311))*(2.204622/2)</f>
        <v>709.10591105157312</v>
      </c>
      <c r="I8" s="92">
        <f>E8-J8</f>
        <v>3919.6986209197767</v>
      </c>
      <c r="J8" s="91">
        <f>274.757+30.39</f>
        <v>305.14699999999999</v>
      </c>
    </row>
    <row r="9" spans="1:10" x14ac:dyDescent="0.2">
      <c r="A9" t="s">
        <v>174</v>
      </c>
      <c r="B9" s="90">
        <f>+J8</f>
        <v>305.14699999999999</v>
      </c>
      <c r="C9" s="90">
        <f>3434.1827+275.2598</f>
        <v>3709.4424999999997</v>
      </c>
      <c r="D9" s="90">
        <f>(7477.211+1890+1626.705)*2.204622/2000</f>
        <v>12.118714539876001</v>
      </c>
      <c r="E9" s="92">
        <f t="shared" si="0"/>
        <v>4026.7082145398754</v>
      </c>
      <c r="G9" s="92">
        <f t="shared" si="1"/>
        <v>2829.0393881243926</v>
      </c>
      <c r="H9" s="91">
        <f>((682.816496+31.632+104.014557))*(2.204622/2)</f>
        <v>902.20082641548299</v>
      </c>
      <c r="I9" s="92">
        <f t="shared" ref="I9:I19" si="2">E9-J9</f>
        <v>3731.2402145398755</v>
      </c>
      <c r="J9" s="91">
        <f>266.814+28.654</f>
        <v>295.46800000000002</v>
      </c>
    </row>
    <row r="10" spans="1:10" x14ac:dyDescent="0.2">
      <c r="A10" t="s">
        <v>175</v>
      </c>
      <c r="B10" s="90">
        <f t="shared" ref="B10:B19" si="3">+J9</f>
        <v>295.46800000000002</v>
      </c>
      <c r="C10" s="90">
        <f>3604.53275+283.0072</f>
        <v>3887.5399499999999</v>
      </c>
      <c r="D10" s="90">
        <f>(6437.678+2223+1298.018)*2.204622/2000</f>
        <v>10.977580146456001</v>
      </c>
      <c r="E10" s="92">
        <f t="shared" si="0"/>
        <v>4193.9855301464559</v>
      </c>
      <c r="G10" s="92">
        <f t="shared" si="1"/>
        <v>3009.3667435990637</v>
      </c>
      <c r="H10" s="91">
        <f>((584.639907+9.653+97.878165))*(2.204622/2)</f>
        <v>762.98778654739203</v>
      </c>
      <c r="I10" s="92">
        <f t="shared" si="2"/>
        <v>3772.354530146456</v>
      </c>
      <c r="J10" s="91">
        <f>380.865+40.766</f>
        <v>421.63100000000003</v>
      </c>
    </row>
    <row r="11" spans="1:10" x14ac:dyDescent="0.2">
      <c r="A11" t="s">
        <v>176</v>
      </c>
      <c r="B11" s="90">
        <f t="shared" si="3"/>
        <v>421.63100000000003</v>
      </c>
      <c r="C11" s="90">
        <f>3515.10339+276.07502</f>
        <v>3791.1784100000004</v>
      </c>
      <c r="D11" s="90">
        <f>(6022.254+1776+1092.036)*2.204622/2000</f>
        <v>9.7998644601900011</v>
      </c>
      <c r="E11" s="92">
        <f t="shared" si="0"/>
        <v>4222.609274460191</v>
      </c>
      <c r="G11" s="92">
        <f t="shared" si="1"/>
        <v>3096.5572079297381</v>
      </c>
      <c r="H11" s="91">
        <f>((632.982622+2.539+125.322701))*(2.204622/2)</f>
        <v>838.68706653045308</v>
      </c>
      <c r="I11" s="92">
        <f t="shared" si="2"/>
        <v>3935.2442744601913</v>
      </c>
      <c r="J11" s="91">
        <f>259.496+27.869</f>
        <v>287.36500000000001</v>
      </c>
    </row>
    <row r="12" spans="1:10" x14ac:dyDescent="0.2">
      <c r="A12" t="s">
        <v>177</v>
      </c>
      <c r="B12" s="90">
        <f t="shared" si="3"/>
        <v>287.36500000000001</v>
      </c>
      <c r="C12" s="90">
        <f>3223.9013+249.76185</f>
        <v>3473.6631499999999</v>
      </c>
      <c r="D12" s="90">
        <f>(6015.809+2334+2573.124)*2.204622/2000</f>
        <v>12.040469198163002</v>
      </c>
      <c r="E12" s="92">
        <f t="shared" si="0"/>
        <v>3773.0686191981631</v>
      </c>
      <c r="G12" s="92">
        <f t="shared" si="1"/>
        <v>2528.6396734961863</v>
      </c>
      <c r="H12" s="91">
        <f>((686.266975+2.15+139.950832))*(2.204622/2)</f>
        <v>913.11894570197705</v>
      </c>
      <c r="I12" s="92">
        <f t="shared" si="2"/>
        <v>3441.7586191981632</v>
      </c>
      <c r="J12" s="91">
        <f>306.554+24.756</f>
        <v>331.30999999999995</v>
      </c>
    </row>
    <row r="13" spans="1:10" x14ac:dyDescent="0.2">
      <c r="A13" t="s">
        <v>178</v>
      </c>
      <c r="B13" s="90">
        <f t="shared" si="3"/>
        <v>331.30999999999995</v>
      </c>
      <c r="C13" s="90">
        <f>3428.23247+272.87347</f>
        <v>3701.1059399999999</v>
      </c>
      <c r="D13" s="90">
        <f>(5798.892+2406+1554.696)*2.204622/2000</f>
        <v>10.758101207868</v>
      </c>
      <c r="E13" s="92">
        <f t="shared" si="0"/>
        <v>4043.174041207868</v>
      </c>
      <c r="G13" s="92">
        <f t="shared" si="1"/>
        <v>2849.3586140572461</v>
      </c>
      <c r="H13" s="91">
        <f>((590.659488+7.91+125.716514))*(2.204622/2)</f>
        <v>798.38842715062196</v>
      </c>
      <c r="I13" s="92">
        <f t="shared" si="2"/>
        <v>3647.7470412078678</v>
      </c>
      <c r="J13" s="91">
        <f>359.669+35.758</f>
        <v>395.42699999999996</v>
      </c>
    </row>
    <row r="14" spans="1:10" x14ac:dyDescent="0.2">
      <c r="A14" t="s">
        <v>179</v>
      </c>
      <c r="B14" s="90">
        <f t="shared" si="3"/>
        <v>395.42699999999996</v>
      </c>
      <c r="C14" s="90">
        <f>3245.8437+254.80026</f>
        <v>3500.6439599999999</v>
      </c>
      <c r="D14" s="90">
        <f>(7784.718+2514+2158.008)*2.204622/2000</f>
        <v>13.731186093786002</v>
      </c>
      <c r="E14" s="92">
        <f t="shared" si="0"/>
        <v>3909.8021460937862</v>
      </c>
      <c r="G14" s="92">
        <f t="shared" si="1"/>
        <v>2712.829971547375</v>
      </c>
      <c r="H14" s="91">
        <f>((625.771284+6.087+145.624817))*(2.204622/2)</f>
        <v>857.02817454641104</v>
      </c>
      <c r="I14" s="92">
        <f t="shared" si="2"/>
        <v>3569.8581460937862</v>
      </c>
      <c r="J14" s="91">
        <f>304.583+35.361</f>
        <v>339.94400000000002</v>
      </c>
    </row>
    <row r="15" spans="1:10" x14ac:dyDescent="0.2">
      <c r="A15" t="s">
        <v>190</v>
      </c>
      <c r="B15" s="90">
        <f t="shared" si="3"/>
        <v>339.94400000000002</v>
      </c>
      <c r="C15" s="90">
        <f>3366.8766+266.8909</f>
        <v>3633.7674999999999</v>
      </c>
      <c r="D15" s="90">
        <f>(7738+2535+1834.332)*2.204622/2000</f>
        <v>13.346045244252</v>
      </c>
      <c r="E15" s="92">
        <f t="shared" si="0"/>
        <v>3987.0575452442517</v>
      </c>
      <c r="G15" s="92">
        <f t="shared" si="1"/>
        <v>2830.0320771549846</v>
      </c>
      <c r="H15" s="91">
        <f>((563.135399+9.306+84.352798))*(2.204622/2)</f>
        <v>723.99146808926707</v>
      </c>
      <c r="I15" s="92">
        <f t="shared" si="2"/>
        <v>3554.0235452442516</v>
      </c>
      <c r="J15" s="91">
        <f>388.197+44.837</f>
        <v>433.03399999999999</v>
      </c>
    </row>
    <row r="16" spans="1:10" x14ac:dyDescent="0.2">
      <c r="A16" t="s">
        <v>191</v>
      </c>
      <c r="B16" s="90">
        <f t="shared" si="3"/>
        <v>433.03399999999999</v>
      </c>
      <c r="C16" s="90">
        <f>3098.01928+254.25166</f>
        <v>3352.2709399999999</v>
      </c>
      <c r="D16" s="90">
        <f>(7300.966+2104+1422.621)*2.204622/2000</f>
        <v>11.935368253557</v>
      </c>
      <c r="E16" s="92">
        <f t="shared" si="0"/>
        <v>3797.240308253557</v>
      </c>
      <c r="F16" s="90"/>
      <c r="G16" s="92">
        <f t="shared" si="1"/>
        <v>2524.8626547604813</v>
      </c>
      <c r="H16" s="91">
        <f>((594.908585+15.117+159.349531))*(2.204622/2)</f>
        <v>848.09065349307593</v>
      </c>
      <c r="I16" s="92">
        <f t="shared" si="2"/>
        <v>3372.9533082535572</v>
      </c>
      <c r="J16" s="91">
        <f>379.424+44.863</f>
        <v>424.28699999999998</v>
      </c>
    </row>
    <row r="17" spans="1:10" x14ac:dyDescent="0.2">
      <c r="A17" t="s">
        <v>192</v>
      </c>
      <c r="B17" s="90">
        <f t="shared" si="3"/>
        <v>424.28699999999998</v>
      </c>
      <c r="C17" s="90">
        <f>3072.3696+243.9096</f>
        <v>3316.2791999999999</v>
      </c>
      <c r="D17" s="90">
        <f>(6877.055+1111+995.184)*2.204622/2000</f>
        <v>9.9023231653290011</v>
      </c>
      <c r="E17" s="92">
        <f t="shared" si="0"/>
        <v>3750.4685231653289</v>
      </c>
      <c r="F17" s="90"/>
      <c r="G17" s="92">
        <f t="shared" si="1"/>
        <v>2703.5052122596549</v>
      </c>
      <c r="H17" s="91">
        <f>((553.074368+29.929+97.032766))*(2.204622/2)</f>
        <v>749.61131090567415</v>
      </c>
      <c r="I17" s="92">
        <f t="shared" si="2"/>
        <v>3453.116523165329</v>
      </c>
      <c r="J17" s="91">
        <f>268.155+29.197</f>
        <v>297.35199999999998</v>
      </c>
    </row>
    <row r="18" spans="1:10" x14ac:dyDescent="0.2">
      <c r="A18" t="s">
        <v>193</v>
      </c>
      <c r="B18" s="90">
        <f t="shared" si="3"/>
        <v>297.35199999999998</v>
      </c>
      <c r="C18" s="90">
        <f>2821.738+230.64505</f>
        <v>3052.3830499999999</v>
      </c>
      <c r="D18" s="90">
        <f>(6123.554+1972+1883.773)*2.204622/2000</f>
        <v>11.000321924696999</v>
      </c>
      <c r="E18" s="92">
        <f t="shared" si="0"/>
        <v>3360.7353719246967</v>
      </c>
      <c r="F18" s="90"/>
      <c r="G18" s="92">
        <f t="shared" si="1"/>
        <v>2365.0915341430568</v>
      </c>
      <c r="H18" s="91">
        <f>((440.510518+3.928+82.118722))*(2.204622/2)</f>
        <v>580.42983778164</v>
      </c>
      <c r="I18" s="92">
        <f t="shared" si="2"/>
        <v>2945.5213719246967</v>
      </c>
      <c r="J18" s="91">
        <f>375.852+39.362</f>
        <v>415.214</v>
      </c>
    </row>
    <row r="19" spans="1:10" x14ac:dyDescent="0.2">
      <c r="A19" t="s">
        <v>172</v>
      </c>
      <c r="B19" s="90">
        <f t="shared" si="3"/>
        <v>415.214</v>
      </c>
      <c r="C19" s="90">
        <f>2772.8303+223.4933</f>
        <v>2996.3236000000002</v>
      </c>
      <c r="D19" s="90">
        <f>(6717.858+2063+2662.006)*2.204622/2000</f>
        <v>12.613594858703999</v>
      </c>
      <c r="E19" s="92">
        <f t="shared" si="0"/>
        <v>3424.151194858704</v>
      </c>
      <c r="F19" s="90"/>
      <c r="G19" s="92">
        <f t="shared" si="1"/>
        <v>2571.979750845624</v>
      </c>
      <c r="H19" s="91">
        <f>((404.991459+14.273+87.241821))*(2.204622/2)</f>
        <v>558.32744401308014</v>
      </c>
      <c r="I19" s="92">
        <f t="shared" si="2"/>
        <v>3130.307194858704</v>
      </c>
      <c r="J19" s="91">
        <f>259.886+33.958</f>
        <v>293.84400000000005</v>
      </c>
    </row>
    <row r="20" spans="1:10" x14ac:dyDescent="0.2">
      <c r="A20" s="21" t="s">
        <v>170</v>
      </c>
      <c r="B20" s="21"/>
      <c r="C20" s="90">
        <f>SUM(C8:C19)</f>
        <v>42284.076460000004</v>
      </c>
      <c r="D20" s="90">
        <f>SUM(D8:D19)</f>
        <v>140.62193001265501</v>
      </c>
      <c r="E20" s="90">
        <f>B8+C20+D20</f>
        <v>42767.667390012655</v>
      </c>
      <c r="F20" s="90"/>
      <c r="G20" s="91">
        <f>SUM(G8:G19)</f>
        <v>33231.855537786003</v>
      </c>
      <c r="H20" s="91">
        <f>SUM(H8:H19)</f>
        <v>9241.9678522266495</v>
      </c>
      <c r="I20" s="91">
        <f>SUM(I8:I19)</f>
        <v>42473.823390012658</v>
      </c>
      <c r="J20" s="92"/>
    </row>
    <row r="21" spans="1:10" x14ac:dyDescent="0.2">
      <c r="A21" t="s">
        <v>36</v>
      </c>
      <c r="B21" s="21"/>
      <c r="C21" s="90"/>
      <c r="D21" s="90"/>
      <c r="E21" s="90"/>
      <c r="F21" s="90"/>
      <c r="G21" s="90"/>
      <c r="H21" s="90"/>
      <c r="I21" s="90"/>
      <c r="J21" s="91"/>
    </row>
    <row r="22" spans="1:10" x14ac:dyDescent="0.2">
      <c r="A22" t="s">
        <v>173</v>
      </c>
      <c r="B22" s="90">
        <f>+J19</f>
        <v>293.84400000000005</v>
      </c>
      <c r="C22" s="90">
        <f>3267.43129+252.01493</f>
        <v>3519.4462199999998</v>
      </c>
      <c r="D22" s="90">
        <f>(5799.907+2280+168.321)*2.204622/2000</f>
        <v>9.0921124549080012</v>
      </c>
      <c r="E22" s="92">
        <f t="shared" ref="E22:E33" si="4">B22+C22+D22</f>
        <v>3822.382332454908</v>
      </c>
      <c r="G22" s="92">
        <f t="shared" ref="G22:G33" si="5">I22-H22</f>
        <v>2780.1005339050562</v>
      </c>
      <c r="H22" s="91">
        <f>((478.22002+3.343+126.473912))*(2.204622/2)</f>
        <v>670.245798549852</v>
      </c>
      <c r="I22" s="92">
        <f>E22-J22</f>
        <v>3450.346332454908</v>
      </c>
      <c r="J22" s="91">
        <f>335.488+36.548</f>
        <v>372.036</v>
      </c>
    </row>
    <row r="23" spans="1:10" x14ac:dyDescent="0.2">
      <c r="A23" t="s">
        <v>174</v>
      </c>
      <c r="B23" s="90">
        <f>+J22</f>
        <v>372.036</v>
      </c>
      <c r="C23" s="90">
        <f>3158.033+255.442</f>
        <v>3413.4749999999999</v>
      </c>
      <c r="D23" s="90">
        <f>(4862.172+1859+513.416)*2.204622/2000</f>
        <v>7.9747659328680003</v>
      </c>
      <c r="E23" s="92">
        <f t="shared" si="4"/>
        <v>3793.4857659328682</v>
      </c>
      <c r="G23" s="92">
        <f t="shared" si="5"/>
        <v>2401.0978619448092</v>
      </c>
      <c r="H23" s="91">
        <f>((611.447686+7.956+99.318983))*(2.204622/2)</f>
        <v>792.255903988059</v>
      </c>
      <c r="I23" s="92">
        <f t="shared" ref="I23:I33" si="6">E23-J23</f>
        <v>3193.3537659328681</v>
      </c>
      <c r="J23" s="91">
        <f>543.932+56.2</f>
        <v>600.13200000000006</v>
      </c>
    </row>
    <row r="24" spans="1:10" x14ac:dyDescent="0.2">
      <c r="A24" t="s">
        <v>175</v>
      </c>
      <c r="B24" s="90">
        <f t="shared" ref="B24:B33" si="7">+J23</f>
        <v>600.13200000000006</v>
      </c>
      <c r="C24" s="90">
        <f>3101.79875+244.15355</f>
        <v>3345.9522999999999</v>
      </c>
      <c r="D24" s="90">
        <f>(5711.755+2422+844.082)*2.204622/2000</f>
        <v>9.8963684813070003</v>
      </c>
      <c r="E24" s="92">
        <f t="shared" si="4"/>
        <v>3955.980668481307</v>
      </c>
      <c r="G24" s="92">
        <f t="shared" si="5"/>
        <v>2922.8361538259824</v>
      </c>
      <c r="H24" s="91">
        <f>((462.315357+19.782+79.664718))*(2.204622/2)</f>
        <v>619.23651465532498</v>
      </c>
      <c r="I24" s="92">
        <f t="shared" si="6"/>
        <v>3542.0726684813071</v>
      </c>
      <c r="J24" s="91">
        <f>372.337+41.571</f>
        <v>413.90800000000002</v>
      </c>
    </row>
    <row r="25" spans="1:10" x14ac:dyDescent="0.2">
      <c r="A25" t="s">
        <v>176</v>
      </c>
      <c r="B25" s="90">
        <f t="shared" si="7"/>
        <v>413.90800000000002</v>
      </c>
      <c r="C25" s="90">
        <f>3184.5717+254.61388</f>
        <v>3439.1855799999998</v>
      </c>
      <c r="D25" s="90">
        <f>(3280.341+1707+1036.079)*2.204622/2000</f>
        <v>6.6396821236200001</v>
      </c>
      <c r="E25" s="92">
        <f t="shared" si="4"/>
        <v>3859.7332621236196</v>
      </c>
      <c r="G25" s="92">
        <f t="shared" si="5"/>
        <v>2537.5555986505647</v>
      </c>
      <c r="H25" s="91">
        <f>((675.293541+8.295+111.957964))*(2.204622/2)</f>
        <v>876.93966347305502</v>
      </c>
      <c r="I25" s="92">
        <f t="shared" si="6"/>
        <v>3414.4952621236198</v>
      </c>
      <c r="J25" s="91">
        <f>400.217+45.021</f>
        <v>445.238</v>
      </c>
    </row>
    <row r="26" spans="1:10" x14ac:dyDescent="0.2">
      <c r="A26" t="s">
        <v>177</v>
      </c>
      <c r="B26" s="90">
        <f t="shared" si="7"/>
        <v>445.238</v>
      </c>
      <c r="C26" s="90">
        <f>2972.2+230.916</f>
        <v>3203.116</v>
      </c>
      <c r="D26" s="90">
        <f>(3516.779+1724+123.246)*2.204622/2000</f>
        <v>5.9128237617750008</v>
      </c>
      <c r="E26" s="92">
        <f t="shared" si="4"/>
        <v>3654.266823761775</v>
      </c>
      <c r="G26" s="92">
        <f t="shared" si="5"/>
        <v>2497.8638813801226</v>
      </c>
      <c r="H26" s="91">
        <f>((564.409067+6.434+81.747665))*(2.204622/2)</f>
        <v>719.35794238165204</v>
      </c>
      <c r="I26" s="92">
        <f t="shared" si="6"/>
        <v>3217.2218237617749</v>
      </c>
      <c r="J26" s="91">
        <f>393.1+43.945</f>
        <v>437.04500000000002</v>
      </c>
    </row>
    <row r="27" spans="1:10" x14ac:dyDescent="0.2">
      <c r="A27" t="s">
        <v>178</v>
      </c>
      <c r="B27" s="90">
        <f t="shared" si="7"/>
        <v>437.04500000000002</v>
      </c>
      <c r="C27" s="90">
        <f>3171+253.799</f>
        <v>3424.799</v>
      </c>
      <c r="D27" s="90">
        <f>(6267.251+2012+529.749)*2.204622/2000</f>
        <v>9.7102575990000002</v>
      </c>
      <c r="E27" s="92">
        <f t="shared" si="4"/>
        <v>3871.5542575990003</v>
      </c>
      <c r="G27" s="92">
        <f t="shared" si="5"/>
        <v>2710.3518114791964</v>
      </c>
      <c r="H27" s="91">
        <f>((567.758833+5.071+153.343131))*(2.204622/2)</f>
        <v>800.46844611980396</v>
      </c>
      <c r="I27" s="92">
        <f t="shared" si="6"/>
        <v>3510.8202575990003</v>
      </c>
      <c r="J27" s="91">
        <f>313+47.734</f>
        <v>360.73399999999998</v>
      </c>
    </row>
    <row r="28" spans="1:10" x14ac:dyDescent="0.2">
      <c r="A28" t="s">
        <v>179</v>
      </c>
      <c r="B28" s="90">
        <f t="shared" si="7"/>
        <v>360.73399999999998</v>
      </c>
      <c r="C28" s="90">
        <f>3092.5+243.4</f>
        <v>3335.9</v>
      </c>
      <c r="D28" s="90">
        <f>(4578.88+1915+316.826)*2.204622/2000</f>
        <v>7.5075161415660006</v>
      </c>
      <c r="E28" s="92">
        <f t="shared" si="4"/>
        <v>3704.1415161415662</v>
      </c>
      <c r="G28" s="92">
        <f t="shared" si="5"/>
        <v>2422.3890670421315</v>
      </c>
      <c r="H28" s="91">
        <f>((654.41196+9.797+115.564125))*(2.204622/2)</f>
        <v>859.55244909943508</v>
      </c>
      <c r="I28" s="92">
        <f t="shared" si="6"/>
        <v>3281.9415161415664</v>
      </c>
      <c r="J28" s="91">
        <f>375.9+46.3</f>
        <v>422.2</v>
      </c>
    </row>
    <row r="29" spans="1:10" x14ac:dyDescent="0.2">
      <c r="A29" t="s">
        <v>190</v>
      </c>
      <c r="B29" s="90">
        <f t="shared" si="7"/>
        <v>422.2</v>
      </c>
      <c r="C29" s="90">
        <f>3245+255.4</f>
        <v>3500.4</v>
      </c>
      <c r="D29" s="90">
        <f>(4413.963+1525+576.704)*2.204622/2000</f>
        <v>7.1822914064369998</v>
      </c>
      <c r="E29" s="92">
        <f t="shared" si="4"/>
        <v>3929.7822914064368</v>
      </c>
      <c r="G29" s="92">
        <f t="shared" si="5"/>
        <v>2607.373871881563</v>
      </c>
      <c r="H29" s="91">
        <f>((611.364439+10.367+54.491895))*(2.204622/2)</f>
        <v>745.40841952487392</v>
      </c>
      <c r="I29" s="92">
        <f t="shared" si="6"/>
        <v>3352.7822914064368</v>
      </c>
      <c r="J29" s="91">
        <f>517.2+59.8</f>
        <v>577</v>
      </c>
    </row>
    <row r="30" spans="1:10" x14ac:dyDescent="0.2">
      <c r="A30" t="s">
        <v>191</v>
      </c>
      <c r="B30" s="90">
        <f t="shared" si="7"/>
        <v>577</v>
      </c>
      <c r="C30" s="90">
        <f>3082.209+241.001</f>
        <v>3323.21</v>
      </c>
      <c r="D30" s="90">
        <f>(3672.476+952+495.243)*2.204622/2000</f>
        <v>5.6435225706090018</v>
      </c>
      <c r="E30" s="92">
        <f t="shared" si="4"/>
        <v>3905.8535225706091</v>
      </c>
      <c r="F30" s="90"/>
      <c r="G30" s="92">
        <f t="shared" si="5"/>
        <v>2514.5244600143051</v>
      </c>
      <c r="H30" s="91">
        <f>((768.743109+24.765+81.936355))*(2.204622/2)</f>
        <v>965.01206255630404</v>
      </c>
      <c r="I30" s="92">
        <f t="shared" si="6"/>
        <v>3479.5365225706091</v>
      </c>
      <c r="J30" s="91">
        <f>385.917+40.4</f>
        <v>426.31699999999995</v>
      </c>
    </row>
    <row r="31" spans="1:10" x14ac:dyDescent="0.2">
      <c r="A31" t="s">
        <v>192</v>
      </c>
      <c r="B31" s="90">
        <f t="shared" si="7"/>
        <v>426.31699999999995</v>
      </c>
      <c r="C31" s="90">
        <f>2836.244+230.471</f>
        <v>3066.7150000000001</v>
      </c>
      <c r="D31" s="90">
        <f>(4297.567+1965+411.382)*2.204622/2000</f>
        <v>7.3567673961390003</v>
      </c>
      <c r="E31" s="92">
        <f t="shared" si="4"/>
        <v>3500.388767396139</v>
      </c>
      <c r="F31" s="90"/>
      <c r="G31" s="92">
        <f t="shared" si="5"/>
        <v>2539.0878538352108</v>
      </c>
      <c r="H31" s="91">
        <f>((472.871369+18.307+82.971679))*(2.204622/2)</f>
        <v>632.89191356092795</v>
      </c>
      <c r="I31" s="92">
        <f t="shared" si="6"/>
        <v>3171.9797673961389</v>
      </c>
      <c r="J31" s="91">
        <f>298.821+29.588</f>
        <v>328.40900000000005</v>
      </c>
    </row>
    <row r="32" spans="1:10" x14ac:dyDescent="0.2">
      <c r="A32" t="s">
        <v>193</v>
      </c>
      <c r="B32" s="90">
        <f t="shared" si="7"/>
        <v>328.40900000000005</v>
      </c>
      <c r="C32" s="90">
        <f>2630.7+216</f>
        <v>2846.7</v>
      </c>
      <c r="D32" s="90">
        <f>(3540.812+1534+459.515)*2.204622/2000</f>
        <v>6.100549529697</v>
      </c>
      <c r="E32" s="92">
        <f t="shared" si="4"/>
        <v>3181.2095495296971</v>
      </c>
      <c r="F32" s="90"/>
      <c r="G32" s="92">
        <f t="shared" si="5"/>
        <v>2454.1814414951709</v>
      </c>
      <c r="H32" s="91">
        <f>((315.506679+6.527+50.028387))*(2.204622/2)</f>
        <v>410.12810803452601</v>
      </c>
      <c r="I32" s="92">
        <f t="shared" si="6"/>
        <v>2864.3095495296971</v>
      </c>
      <c r="J32" s="91">
        <f>283.1+33.8</f>
        <v>316.90000000000003</v>
      </c>
    </row>
    <row r="33" spans="1:10" x14ac:dyDescent="0.2">
      <c r="A33" t="s">
        <v>172</v>
      </c>
      <c r="B33" s="90">
        <f t="shared" si="7"/>
        <v>316.90000000000003</v>
      </c>
      <c r="C33" s="90">
        <f>2482.657+200.877</f>
        <v>2683.5340000000001</v>
      </c>
      <c r="D33" s="90">
        <f>(2696.115+1527+48.089)*2.204622/2000</f>
        <v>4.7081951524440004</v>
      </c>
      <c r="E33" s="92">
        <f t="shared" si="4"/>
        <v>3005.1421951524444</v>
      </c>
      <c r="F33" s="90"/>
      <c r="G33" s="92">
        <f t="shared" si="5"/>
        <v>2364.8412577432628</v>
      </c>
      <c r="H33" s="91">
        <f>((282.368791+11.853+73.705171))*(2.204622/2)</f>
        <v>405.56993740918205</v>
      </c>
      <c r="I33" s="92">
        <f t="shared" si="6"/>
        <v>2770.4111951524446</v>
      </c>
      <c r="J33" s="91">
        <f>206.808+27.923</f>
        <v>234.73099999999999</v>
      </c>
    </row>
    <row r="34" spans="1:10" x14ac:dyDescent="0.2">
      <c r="A34" s="21" t="s">
        <v>170</v>
      </c>
      <c r="B34" s="21"/>
      <c r="C34" s="90">
        <f>SUM(C22:C33)</f>
        <v>39102.433099999995</v>
      </c>
      <c r="D34" s="90">
        <f>SUM(D22:D33)</f>
        <v>87.724852550370031</v>
      </c>
      <c r="E34" s="90">
        <f>B22+C34+D34</f>
        <v>39484.001952550359</v>
      </c>
      <c r="F34" s="90"/>
      <c r="G34" s="91">
        <f>SUM(G22:G33)</f>
        <v>30752.203793197375</v>
      </c>
      <c r="H34" s="91">
        <f>SUM(H22:H33)</f>
        <v>8497.0671593529969</v>
      </c>
      <c r="I34" s="91">
        <f>SUM(I22:I33)</f>
        <v>39249.270952550367</v>
      </c>
      <c r="J34" s="92"/>
    </row>
    <row r="35" spans="1:10" x14ac:dyDescent="0.2">
      <c r="A35" s="28" t="s">
        <v>37</v>
      </c>
      <c r="B35" s="21"/>
      <c r="C35" s="90"/>
      <c r="D35" s="90"/>
      <c r="E35" s="90"/>
      <c r="F35" s="90"/>
      <c r="G35" s="90"/>
      <c r="H35" s="90"/>
      <c r="I35" s="90"/>
      <c r="J35" s="91"/>
    </row>
    <row r="36" spans="1:10" x14ac:dyDescent="0.2">
      <c r="A36" t="s">
        <v>173</v>
      </c>
      <c r="B36" s="90">
        <f>+J33</f>
        <v>234.73099999999999</v>
      </c>
      <c r="C36" s="90">
        <f>3578.656+267</f>
        <v>3845.6559999999999</v>
      </c>
      <c r="D36" s="90">
        <f>(9330.821+1735+55.218)*2.204622/2000</f>
        <v>12.258843621129001</v>
      </c>
      <c r="E36" s="92">
        <f t="shared" ref="E36:E47" si="8">B36+C36+D36</f>
        <v>4092.6458436211287</v>
      </c>
      <c r="G36" s="92">
        <f t="shared" ref="G36:G47" si="9">I36-H36</f>
        <v>2890.8732605172177</v>
      </c>
      <c r="H36" s="91">
        <f>((577.107071+13.622+95.73653))*(2.204622/2)</f>
        <v>756.69858310391101</v>
      </c>
      <c r="I36" s="92">
        <f>E36-J36</f>
        <v>3647.5718436211287</v>
      </c>
      <c r="J36" s="91">
        <f>401+44.074</f>
        <v>445.07400000000001</v>
      </c>
    </row>
    <row r="37" spans="1:10" x14ac:dyDescent="0.2">
      <c r="A37" t="s">
        <v>174</v>
      </c>
      <c r="B37" s="90">
        <f>+J36</f>
        <v>445.07400000000001</v>
      </c>
      <c r="C37" s="90">
        <f>3696.36+280.185</f>
        <v>3976.5450000000001</v>
      </c>
      <c r="D37" s="90">
        <f>(3807.985+1708+83.15)*2.204622/2000</f>
        <v>6.1719881009850006</v>
      </c>
      <c r="E37" s="92">
        <f t="shared" si="8"/>
        <v>4427.7909881009846</v>
      </c>
      <c r="G37" s="92">
        <f t="shared" si="9"/>
        <v>2407.1856888049169</v>
      </c>
      <c r="H37" s="91">
        <f>((1147.49778+2.764+113.664008))*(2.204622/2)</f>
        <v>1393.2392992960679</v>
      </c>
      <c r="I37" s="92">
        <f t="shared" ref="I37:I47" si="10">E37-J37</f>
        <v>3800.4249881009846</v>
      </c>
      <c r="J37" s="91">
        <f>569.374+57.992</f>
        <v>627.36599999999999</v>
      </c>
    </row>
    <row r="38" spans="1:10" x14ac:dyDescent="0.2">
      <c r="A38" t="s">
        <v>175</v>
      </c>
      <c r="B38" s="90">
        <f t="shared" ref="B38:B47" si="11">+J37</f>
        <v>627.36599999999999</v>
      </c>
      <c r="C38" s="90">
        <f>3785.027+291.062</f>
        <v>4076.0889999999999</v>
      </c>
      <c r="D38" s="90">
        <f>(6508.166+1943+139.184)*2.204622/2000</f>
        <v>9.4692372988500004</v>
      </c>
      <c r="E38" s="92">
        <f t="shared" si="8"/>
        <v>4712.9242372988501</v>
      </c>
      <c r="G38" s="92">
        <f t="shared" si="9"/>
        <v>2861.5990323501856</v>
      </c>
      <c r="H38" s="91">
        <f>((1030.196141+25.082+108.195874))*(2.204622/2)</f>
        <v>1282.510204948665</v>
      </c>
      <c r="I38" s="92">
        <f t="shared" si="10"/>
        <v>4144.1092372988505</v>
      </c>
      <c r="J38" s="91">
        <f>533.578+35.237</f>
        <v>568.81499999999994</v>
      </c>
    </row>
    <row r="39" spans="1:10" x14ac:dyDescent="0.2">
      <c r="A39" t="s">
        <v>176</v>
      </c>
      <c r="B39" s="90">
        <f t="shared" si="11"/>
        <v>568.81499999999994</v>
      </c>
      <c r="C39" s="90">
        <f>3656.43296+276.80069</f>
        <v>3933.2336500000001</v>
      </c>
      <c r="D39" s="90">
        <f>(13052.96+2267+1229.95)*2.204622/2000</f>
        <v>18.24314784201</v>
      </c>
      <c r="E39" s="92">
        <f t="shared" si="8"/>
        <v>4520.2917978420101</v>
      </c>
      <c r="G39" s="92">
        <f t="shared" si="9"/>
        <v>2389.7699442823678</v>
      </c>
      <c r="H39" s="91">
        <f>((1262.585357+13.519+84.756465))*(2.204622/2)</f>
        <v>1500.091853559642</v>
      </c>
      <c r="I39" s="92">
        <f t="shared" si="10"/>
        <v>3889.8617978420098</v>
      </c>
      <c r="J39" s="91">
        <f>585.82+44.61</f>
        <v>630.43000000000006</v>
      </c>
    </row>
    <row r="40" spans="1:10" x14ac:dyDescent="0.2">
      <c r="A40" t="s">
        <v>177</v>
      </c>
      <c r="B40" s="90">
        <f t="shared" si="11"/>
        <v>630.43000000000006</v>
      </c>
      <c r="C40" s="90">
        <f>3375.214+260.295</f>
        <v>3635.509</v>
      </c>
      <c r="D40" s="90">
        <f>(17818.894+2064+137.16)*2.204622/2000</f>
        <v>22.068325744794002</v>
      </c>
      <c r="E40" s="92">
        <f t="shared" si="8"/>
        <v>4288.0073257447939</v>
      </c>
      <c r="G40" s="92">
        <f t="shared" si="9"/>
        <v>2253.3381986525264</v>
      </c>
      <c r="H40" s="91">
        <f>((1087.4166535+8.844+112.382939))*(2.204622/2)</f>
        <v>1332.3011270922677</v>
      </c>
      <c r="I40" s="92">
        <f t="shared" si="10"/>
        <v>3585.639325744794</v>
      </c>
      <c r="J40" s="91">
        <f>654.224+48.144</f>
        <v>702.36800000000005</v>
      </c>
    </row>
    <row r="41" spans="1:10" x14ac:dyDescent="0.2">
      <c r="A41" t="s">
        <v>178</v>
      </c>
      <c r="B41" s="90">
        <f t="shared" si="11"/>
        <v>702.36800000000005</v>
      </c>
      <c r="C41" s="90">
        <f>3415.26438+264.84859</f>
        <v>3680.1129700000001</v>
      </c>
      <c r="D41" s="90">
        <f>(11140.661+2301+986.65)*2.204622/2000</f>
        <v>15.904485926721</v>
      </c>
      <c r="E41" s="92">
        <f t="shared" si="8"/>
        <v>4398.3854559267211</v>
      </c>
      <c r="G41" s="92">
        <f t="shared" si="9"/>
        <v>2676.8390445672248</v>
      </c>
      <c r="H41" s="91">
        <f>((1148.94249+8.929+75.681846))*(2.204622/2)</f>
        <v>1359.759411359496</v>
      </c>
      <c r="I41" s="92">
        <f t="shared" si="10"/>
        <v>4036.5984559267208</v>
      </c>
      <c r="J41" s="91">
        <f>328.144+33.643</f>
        <v>361.78700000000003</v>
      </c>
    </row>
    <row r="42" spans="1:10" x14ac:dyDescent="0.2">
      <c r="A42" t="s">
        <v>179</v>
      </c>
      <c r="B42" s="90">
        <f t="shared" si="11"/>
        <v>361.78700000000003</v>
      </c>
      <c r="C42" s="90">
        <f>2981.51176+230.30494</f>
        <v>3211.8166999999999</v>
      </c>
      <c r="D42" s="90">
        <f>(3301.123+2722+4120.029)*2.204622/2000</f>
        <v>11.180908024272002</v>
      </c>
      <c r="E42" s="92">
        <f t="shared" si="8"/>
        <v>3584.7846080242716</v>
      </c>
      <c r="G42" s="92">
        <f t="shared" si="9"/>
        <v>2437.4971793552309</v>
      </c>
      <c r="H42" s="91">
        <f>((640.480156+13.766+117.997275))*(2.204622/2)</f>
        <v>851.25242866904091</v>
      </c>
      <c r="I42" s="92">
        <f t="shared" si="10"/>
        <v>3288.7496080242718</v>
      </c>
      <c r="J42" s="91">
        <f>265.076+30.959</f>
        <v>296.03500000000003</v>
      </c>
    </row>
    <row r="43" spans="1:10" x14ac:dyDescent="0.2">
      <c r="A43" t="s">
        <v>190</v>
      </c>
      <c r="B43" s="90">
        <f t="shared" si="11"/>
        <v>296.03500000000003</v>
      </c>
      <c r="C43" s="90">
        <f>2921.0122+223.45025</f>
        <v>3144.46245</v>
      </c>
      <c r="D43" s="90">
        <f>(3892.835+2338+163.914)*2.204622/2000</f>
        <v>7.049002164939</v>
      </c>
      <c r="E43" s="92">
        <f t="shared" si="8"/>
        <v>3447.5464521649387</v>
      </c>
      <c r="G43" s="92">
        <f t="shared" si="9"/>
        <v>2390.3807663674379</v>
      </c>
      <c r="H43" s="91">
        <f>((474.32093+3.322+57.132361))*(2.204622/2)</f>
        <v>589.48868579750092</v>
      </c>
      <c r="I43" s="92">
        <f t="shared" si="10"/>
        <v>2979.8694521649386</v>
      </c>
      <c r="J43" s="91">
        <f>423.871+43.806</f>
        <v>467.67699999999996</v>
      </c>
    </row>
    <row r="44" spans="1:10" x14ac:dyDescent="0.2">
      <c r="A44" t="s">
        <v>191</v>
      </c>
      <c r="B44" s="90">
        <f t="shared" si="11"/>
        <v>467.67699999999996</v>
      </c>
      <c r="C44" s="90">
        <f>2839.78764+216.92932</f>
        <v>3056.7169600000002</v>
      </c>
      <c r="D44" s="90">
        <f>(2032.182+1026+61.794)*2.204622/2000</f>
        <v>3.439183864536</v>
      </c>
      <c r="E44" s="92">
        <f t="shared" si="8"/>
        <v>3527.8331438645364</v>
      </c>
      <c r="F44" s="90"/>
      <c r="G44" s="92">
        <f t="shared" si="9"/>
        <v>2626.7552267324795</v>
      </c>
      <c r="H44" s="91">
        <f>((438.486583+3.889+63.345504))*(2.204622/2)</f>
        <v>557.46191713205701</v>
      </c>
      <c r="I44" s="92">
        <f t="shared" si="10"/>
        <v>3184.2171438645364</v>
      </c>
      <c r="J44" s="91">
        <f>307.603+36.013</f>
        <v>343.61599999999999</v>
      </c>
    </row>
    <row r="45" spans="1:10" x14ac:dyDescent="0.2">
      <c r="A45" t="s">
        <v>192</v>
      </c>
      <c r="B45" s="90">
        <f t="shared" si="11"/>
        <v>343.61599999999999</v>
      </c>
      <c r="C45" s="90">
        <f>2837.93716+218.17026</f>
        <v>3056.1074199999998</v>
      </c>
      <c r="D45" s="90">
        <f>(5996.836+1860+321.137)*2.204622/2000</f>
        <v>9.0146695956029994</v>
      </c>
      <c r="E45" s="92">
        <f t="shared" si="8"/>
        <v>3408.738089595603</v>
      </c>
      <c r="F45" s="90"/>
      <c r="G45" s="92">
        <f t="shared" si="9"/>
        <v>2496.4924356280967</v>
      </c>
      <c r="H45" s="91">
        <f>((382.033545+10.641+49.334701))*(2.204622/2)</f>
        <v>487.23165396750602</v>
      </c>
      <c r="I45" s="92">
        <f t="shared" si="10"/>
        <v>2983.7240895956029</v>
      </c>
      <c r="J45" s="91">
        <f>386.502+38.512</f>
        <v>425.01400000000001</v>
      </c>
    </row>
    <row r="46" spans="1:10" x14ac:dyDescent="0.2">
      <c r="A46" t="s">
        <v>193</v>
      </c>
      <c r="B46" s="90">
        <f t="shared" si="11"/>
        <v>425.01400000000001</v>
      </c>
      <c r="C46" s="90">
        <f>2806.1809+224.409</f>
        <v>3030.5898999999999</v>
      </c>
      <c r="D46" s="90">
        <f>(9593.463+2212+7915.844)*2.204622/2000</f>
        <v>21.739013640477001</v>
      </c>
      <c r="E46" s="92">
        <f t="shared" si="8"/>
        <v>3477.342913640477</v>
      </c>
      <c r="F46" s="90"/>
      <c r="G46" s="92">
        <f t="shared" si="9"/>
        <v>2629.5331658086416</v>
      </c>
      <c r="H46" s="91">
        <f>((448.125421+10.071+63.705064))*(2.204622/2)</f>
        <v>575.29774783183507</v>
      </c>
      <c r="I46" s="92">
        <f t="shared" si="10"/>
        <v>3204.8309136404769</v>
      </c>
      <c r="J46" s="91">
        <f>241.288+31.224</f>
        <v>272.512</v>
      </c>
    </row>
    <row r="47" spans="1:10" x14ac:dyDescent="0.2">
      <c r="A47" t="s">
        <v>172</v>
      </c>
      <c r="B47" s="90">
        <f t="shared" si="11"/>
        <v>272.512</v>
      </c>
      <c r="C47" s="90">
        <f>2836.0385+223.6447</f>
        <v>3059.6831999999999</v>
      </c>
      <c r="D47" s="90">
        <f>(14093.621+1906+5287.594)*2.204622/2000</f>
        <v>23.465131253865003</v>
      </c>
      <c r="E47" s="92">
        <f t="shared" si="8"/>
        <v>3355.660331253865</v>
      </c>
      <c r="F47" s="90"/>
      <c r="G47" s="92">
        <f t="shared" si="9"/>
        <v>2579.9710446798667</v>
      </c>
      <c r="H47" s="91">
        <f>((364.731719+9.365+56.031699))*(2.204622/2)</f>
        <v>474.13528657399803</v>
      </c>
      <c r="I47" s="92">
        <f t="shared" si="10"/>
        <v>3054.1063312538649</v>
      </c>
      <c r="J47" s="91">
        <f>273.085+28.469</f>
        <v>301.55399999999997</v>
      </c>
    </row>
    <row r="48" spans="1:10" x14ac:dyDescent="0.2">
      <c r="A48" s="21" t="s">
        <v>170</v>
      </c>
      <c r="B48" s="21"/>
      <c r="C48" s="90">
        <f>SUM(C36:C47)</f>
        <v>41706.522250000002</v>
      </c>
      <c r="D48" s="90">
        <f>SUM(D36:D47)</f>
        <v>160.003937078181</v>
      </c>
      <c r="E48" s="90">
        <f>B36+C48+D48</f>
        <v>42101.257187078183</v>
      </c>
      <c r="F48" s="90"/>
      <c r="G48" s="91">
        <f>SUM(G36:G47)</f>
        <v>30640.234987746193</v>
      </c>
      <c r="H48" s="91">
        <f>SUM(H36:H47)</f>
        <v>11159.468199331988</v>
      </c>
      <c r="I48" s="91">
        <f>SUM(I36:I47)</f>
        <v>41799.703187078187</v>
      </c>
      <c r="J48" s="92"/>
    </row>
    <row r="49" spans="1:10" x14ac:dyDescent="0.2">
      <c r="A49" s="28" t="s">
        <v>38</v>
      </c>
      <c r="B49" s="21"/>
      <c r="C49" s="90"/>
      <c r="D49" s="90"/>
      <c r="E49" s="90"/>
      <c r="F49" s="90"/>
      <c r="G49" s="90"/>
      <c r="H49" s="90"/>
      <c r="I49" s="90"/>
      <c r="J49" s="91"/>
    </row>
    <row r="50" spans="1:10" x14ac:dyDescent="0.2">
      <c r="A50" t="s">
        <v>173</v>
      </c>
      <c r="B50" s="90">
        <f>+J47</f>
        <v>301.55399999999997</v>
      </c>
      <c r="C50" s="90">
        <f>3475.80273+262.26737</f>
        <v>3738.0700999999999</v>
      </c>
      <c r="D50" s="90">
        <f>(9930.223+2377+644.728)*2.204622/2000</f>
        <v>14.277078058760999</v>
      </c>
      <c r="E50" s="92">
        <f t="shared" ref="E50:E61" si="12">B50+C50+D50</f>
        <v>4053.9011780587612</v>
      </c>
      <c r="G50" s="92">
        <f t="shared" ref="G50:G61" si="13">I50-H50</f>
        <v>2803.9630813615072</v>
      </c>
      <c r="H50" s="91">
        <f>((581.892513+8.315+75.128401))*(2.204622/2)</f>
        <v>733.40709669725402</v>
      </c>
      <c r="I50" s="92">
        <f>E50-J50</f>
        <v>3537.3701780587612</v>
      </c>
      <c r="J50" s="91">
        <f>471.806+44.725</f>
        <v>516.53099999999995</v>
      </c>
    </row>
    <row r="51" spans="1:10" x14ac:dyDescent="0.2">
      <c r="A51" t="s">
        <v>174</v>
      </c>
      <c r="B51" s="90">
        <f>+J50</f>
        <v>516.53099999999995</v>
      </c>
      <c r="C51" s="90">
        <f>3447.6493+272.3998</f>
        <v>3720.0491000000002</v>
      </c>
      <c r="D51" s="90">
        <f>(9702.118+1997+339.383)*2.204622/2000</f>
        <v>13.270172075811001</v>
      </c>
      <c r="E51" s="92">
        <f t="shared" si="12"/>
        <v>4249.8502720758115</v>
      </c>
      <c r="G51" s="92">
        <f t="shared" si="13"/>
        <v>2723.3759903611253</v>
      </c>
      <c r="H51" s="91">
        <f>((804.493079+11.232+129.663547))*(2.204622/2)</f>
        <v>1042.1122817146859</v>
      </c>
      <c r="I51" s="92">
        <f t="shared" ref="I51:I61" si="14">E51-J51</f>
        <v>3765.4882720758114</v>
      </c>
      <c r="J51" s="91">
        <f>445.037+39.325</f>
        <v>484.36199999999997</v>
      </c>
    </row>
    <row r="52" spans="1:10" x14ac:dyDescent="0.2">
      <c r="A52" t="s">
        <v>175</v>
      </c>
      <c r="B52" s="90">
        <f t="shared" ref="B52:B61" si="15">+J51</f>
        <v>484.36199999999997</v>
      </c>
      <c r="C52" s="90">
        <f>3397.76335+277.7805</f>
        <v>3675.54385</v>
      </c>
      <c r="D52" s="90">
        <f>(10330.299+2239+2482.86)*2.204622/2000</f>
        <v>16.592160439449003</v>
      </c>
      <c r="E52" s="92">
        <f t="shared" si="12"/>
        <v>4176.498010439449</v>
      </c>
      <c r="G52" s="92">
        <f t="shared" si="13"/>
        <v>2767.0337216476373</v>
      </c>
      <c r="H52" s="91">
        <f>((707.680305+16.967+90.699987))*(2.204622/2)</f>
        <v>898.76628879181192</v>
      </c>
      <c r="I52" s="92">
        <f t="shared" si="14"/>
        <v>3665.8000104394491</v>
      </c>
      <c r="J52" s="91">
        <f>473.178+37.52</f>
        <v>510.69799999999998</v>
      </c>
    </row>
    <row r="53" spans="1:10" x14ac:dyDescent="0.2">
      <c r="A53" t="s">
        <v>176</v>
      </c>
      <c r="B53" s="90">
        <f t="shared" si="15"/>
        <v>510.69799999999998</v>
      </c>
      <c r="C53" s="90">
        <f>3298.36+271.099</f>
        <v>3569.4590000000003</v>
      </c>
      <c r="D53" s="90">
        <f>(12279.597+2214+269.321)*2.204622/2000</f>
        <v>16.273326903497999</v>
      </c>
      <c r="E53" s="92">
        <f t="shared" si="12"/>
        <v>4096.4303269034981</v>
      </c>
      <c r="G53" s="92">
        <f t="shared" si="13"/>
        <v>2476.5456944231264</v>
      </c>
      <c r="H53" s="91">
        <f>((967.927585+17.265+76.925667))*(2.204622/2)</f>
        <v>1170.784632480372</v>
      </c>
      <c r="I53" s="92">
        <f t="shared" si="14"/>
        <v>3647.3303269034982</v>
      </c>
      <c r="J53" s="91">
        <f>408.208+40.892</f>
        <v>449.1</v>
      </c>
    </row>
    <row r="54" spans="1:10" x14ac:dyDescent="0.2">
      <c r="A54" t="s">
        <v>177</v>
      </c>
      <c r="B54" s="90">
        <f t="shared" si="15"/>
        <v>449.1</v>
      </c>
      <c r="C54" s="90">
        <f>2889.211+236.939</f>
        <v>3126.1499999999996</v>
      </c>
      <c r="D54" s="90">
        <f>(13443.229+2315+606.302)*2.204622/2000</f>
        <v>18.038802531140998</v>
      </c>
      <c r="E54" s="92">
        <f t="shared" si="12"/>
        <v>3593.2888025311404</v>
      </c>
      <c r="G54" s="92">
        <f t="shared" si="13"/>
        <v>2194.7277542177144</v>
      </c>
      <c r="H54" s="91">
        <f>((775.643585+8.026+61.802381))*(2.204622/2)</f>
        <v>931.97304831342603</v>
      </c>
      <c r="I54" s="92">
        <f t="shared" si="14"/>
        <v>3126.7008025311407</v>
      </c>
      <c r="J54" s="91">
        <f>428.609+37.979</f>
        <v>466.58799999999997</v>
      </c>
    </row>
    <row r="55" spans="1:10" x14ac:dyDescent="0.2">
      <c r="A55" t="s">
        <v>178</v>
      </c>
      <c r="B55" s="90">
        <f t="shared" si="15"/>
        <v>466.58799999999997</v>
      </c>
      <c r="C55" s="90">
        <f>3111.911+259.694</f>
        <v>3371.605</v>
      </c>
      <c r="D55" s="90">
        <f>(11553.316+3327+448.348)*2.204622/2000</f>
        <v>16.896954942504003</v>
      </c>
      <c r="E55" s="92">
        <f t="shared" si="12"/>
        <v>3855.0899549425044</v>
      </c>
      <c r="G55" s="92">
        <f t="shared" si="13"/>
        <v>2655.7529544888635</v>
      </c>
      <c r="H55" s="91">
        <f>((668.207438+22.372+102.482593))*(2.204622/2)</f>
        <v>874.20100045364097</v>
      </c>
      <c r="I55" s="92">
        <f t="shared" si="14"/>
        <v>3529.9539549425044</v>
      </c>
      <c r="J55" s="91">
        <f>294.551+30.585</f>
        <v>325.13599999999997</v>
      </c>
    </row>
    <row r="56" spans="1:10" x14ac:dyDescent="0.2">
      <c r="A56" t="s">
        <v>179</v>
      </c>
      <c r="B56" s="90">
        <f t="shared" si="15"/>
        <v>325.13599999999997</v>
      </c>
      <c r="C56" s="90">
        <f>2873.217+239.721</f>
        <v>3112.9380000000001</v>
      </c>
      <c r="D56" s="90">
        <f>(10232.088+2853+389.238)*2.204622/2000</f>
        <v>14.852897767385999</v>
      </c>
      <c r="E56" s="92">
        <f t="shared" si="12"/>
        <v>3452.926897767386</v>
      </c>
      <c r="G56" s="92">
        <f t="shared" si="13"/>
        <v>2323.4563076678669</v>
      </c>
      <c r="H56" s="91">
        <f>((522.741849+10.232+89.83368))*(2.204622/2)</f>
        <v>686.52759009951899</v>
      </c>
      <c r="I56" s="92">
        <f t="shared" si="14"/>
        <v>3009.9838977673858</v>
      </c>
      <c r="J56" s="91">
        <f>403.992+38.951</f>
        <v>442.94300000000004</v>
      </c>
    </row>
    <row r="57" spans="1:10" x14ac:dyDescent="0.2">
      <c r="A57" t="s">
        <v>190</v>
      </c>
      <c r="B57" s="90">
        <f t="shared" si="15"/>
        <v>442.94300000000004</v>
      </c>
      <c r="C57" s="90">
        <f>2865.776+234.746</f>
        <v>3100.5219999999999</v>
      </c>
      <c r="D57" s="90">
        <f>(9617.155+2757+254.197)*2.204622/2000</f>
        <v>13.920371321472</v>
      </c>
      <c r="E57" s="92">
        <f t="shared" si="12"/>
        <v>3557.3853713214721</v>
      </c>
      <c r="G57" s="92">
        <f t="shared" si="13"/>
        <v>2593.0223224727083</v>
      </c>
      <c r="H57" s="91">
        <f>((447.841521+15.423+71.435803))*(2.204622/2)</f>
        <v>589.40604884876404</v>
      </c>
      <c r="I57" s="92">
        <f t="shared" si="14"/>
        <v>3182.4283713214722</v>
      </c>
      <c r="J57" s="91">
        <f>333.547+41.41</f>
        <v>374.95699999999999</v>
      </c>
    </row>
    <row r="58" spans="1:10" x14ac:dyDescent="0.2">
      <c r="A58" t="s">
        <v>191</v>
      </c>
      <c r="B58" s="90">
        <f t="shared" si="15"/>
        <v>374.95699999999999</v>
      </c>
      <c r="C58" s="90">
        <f>2746.586+226.906</f>
        <v>2973.4919999999997</v>
      </c>
      <c r="D58" s="90">
        <f>(9604.305+2563+444.972)*2.204622/2000</f>
        <v>13.902651672147</v>
      </c>
      <c r="E58" s="92">
        <f t="shared" si="12"/>
        <v>3362.3516516721465</v>
      </c>
      <c r="F58" s="90"/>
      <c r="G58" s="92">
        <f t="shared" si="13"/>
        <v>2569.6409053451584</v>
      </c>
      <c r="H58" s="91">
        <f>((397.016151+8.204+56.003357))*(2.204622/2)</f>
        <v>508.41174632698801</v>
      </c>
      <c r="I58" s="92">
        <f t="shared" si="14"/>
        <v>3078.0526516721466</v>
      </c>
      <c r="J58" s="91">
        <f>256.329+27.97</f>
        <v>284.29899999999998</v>
      </c>
    </row>
    <row r="59" spans="1:10" x14ac:dyDescent="0.2">
      <c r="A59" t="s">
        <v>192</v>
      </c>
      <c r="B59" s="90">
        <f t="shared" si="15"/>
        <v>284.29899999999998</v>
      </c>
      <c r="C59" s="90">
        <f>2857.622+239.432</f>
        <v>3097.0539999999996</v>
      </c>
      <c r="D59" s="90">
        <f>(7486.208+1505+441.838)*2.204622/2000</f>
        <v>10.398150369305998</v>
      </c>
      <c r="E59" s="92">
        <f t="shared" si="12"/>
        <v>3391.7511503693058</v>
      </c>
      <c r="F59" s="90"/>
      <c r="G59" s="92">
        <f t="shared" si="13"/>
        <v>2411.9593755349656</v>
      </c>
      <c r="H59" s="91">
        <f>((436.692722+21.883+47.067218))*(2.204622/2)</f>
        <v>557.37577483433995</v>
      </c>
      <c r="I59" s="92">
        <f t="shared" si="14"/>
        <v>2969.3351503693057</v>
      </c>
      <c r="J59" s="91">
        <f>387.461+34.955</f>
        <v>422.416</v>
      </c>
    </row>
    <row r="60" spans="1:10" x14ac:dyDescent="0.2">
      <c r="A60" t="s">
        <v>193</v>
      </c>
      <c r="B60" s="90">
        <f t="shared" si="15"/>
        <v>422.416</v>
      </c>
      <c r="C60" s="91">
        <v>3001.875</v>
      </c>
      <c r="D60" s="90">
        <f>(10782.674+3118+190.811)*2.204622/2000</f>
        <v>15.533198921835002</v>
      </c>
      <c r="E60" s="92">
        <f t="shared" si="12"/>
        <v>3439.824198921835</v>
      </c>
      <c r="F60" s="90"/>
      <c r="G60" s="92">
        <f t="shared" si="13"/>
        <v>2471.269891543428</v>
      </c>
      <c r="H60" s="91">
        <f>((433.342843+19.612+62.829094))*(2.204622/2)</f>
        <v>568.55430737840709</v>
      </c>
      <c r="I60" s="92">
        <f t="shared" si="14"/>
        <v>3039.824198921835</v>
      </c>
      <c r="J60" s="91">
        <v>400</v>
      </c>
    </row>
    <row r="61" spans="1:10" x14ac:dyDescent="0.2">
      <c r="A61" t="s">
        <v>172</v>
      </c>
      <c r="B61" s="90">
        <f t="shared" si="15"/>
        <v>400</v>
      </c>
      <c r="C61" s="91">
        <v>2764.1724599999998</v>
      </c>
      <c r="D61" s="90">
        <f>(11031.226+3006+204.164)*2.204622/2000</f>
        <v>15.698440852290002</v>
      </c>
      <c r="E61" s="92">
        <f t="shared" si="12"/>
        <v>3179.8709008522897</v>
      </c>
      <c r="F61" s="90"/>
      <c r="G61" s="92">
        <f t="shared" si="13"/>
        <v>2310.1296979683584</v>
      </c>
      <c r="H61" s="91">
        <f>((339.348188+10.756+121.397233))*(2.204622/2)</f>
        <v>519.74120288393112</v>
      </c>
      <c r="I61" s="92">
        <f t="shared" si="14"/>
        <v>2829.8709008522897</v>
      </c>
      <c r="J61" s="91">
        <v>350</v>
      </c>
    </row>
    <row r="62" spans="1:10" x14ac:dyDescent="0.2">
      <c r="A62" s="21" t="s">
        <v>170</v>
      </c>
      <c r="B62" s="21"/>
      <c r="C62" s="90">
        <f>SUM(C50:C61)</f>
        <v>39250.930509999998</v>
      </c>
      <c r="D62" s="90">
        <f>SUM(D50:D61)</f>
        <v>179.6542058556</v>
      </c>
      <c r="E62" s="90">
        <f>B50+C62+D62</f>
        <v>39732.138715855595</v>
      </c>
      <c r="F62" s="90"/>
      <c r="G62" s="91">
        <f>SUM(G50:G61)</f>
        <v>30300.877697032458</v>
      </c>
      <c r="H62" s="91">
        <f>SUM(H50:H61)</f>
        <v>9081.2610188231411</v>
      </c>
      <c r="I62" s="91">
        <f>SUM(I50:I61)</f>
        <v>39382.138715855603</v>
      </c>
      <c r="J62" s="92"/>
    </row>
    <row r="63" spans="1:10" x14ac:dyDescent="0.2">
      <c r="A63" s="28" t="s">
        <v>43</v>
      </c>
      <c r="B63" s="21"/>
      <c r="C63" s="90"/>
      <c r="D63" s="90"/>
      <c r="E63" s="90"/>
      <c r="F63" s="90"/>
      <c r="G63" s="90"/>
      <c r="H63" s="90"/>
      <c r="I63" s="90"/>
      <c r="J63" s="91"/>
    </row>
    <row r="64" spans="1:10" x14ac:dyDescent="0.2">
      <c r="A64" t="s">
        <v>173</v>
      </c>
      <c r="B64" s="90">
        <f>233.715+30.171</f>
        <v>263.88600000000002</v>
      </c>
      <c r="C64" s="90">
        <f>3742.412+258.909</f>
        <v>4001.3209999999999</v>
      </c>
      <c r="D64" s="90">
        <f>(24490.318+2973+4420.437)*2.204622/2000</f>
        <v>35.145813857804995</v>
      </c>
      <c r="E64" s="92">
        <f t="shared" ref="E64:E75" si="16">B64+C64+D64</f>
        <v>4300.3528138578049</v>
      </c>
      <c r="F64" s="90"/>
      <c r="G64" s="91">
        <f t="shared" ref="G64:G75" si="17">I64-H64</f>
        <v>3014.9149684917497</v>
      </c>
      <c r="H64" s="93">
        <f>((655.834691+2.098+150.976814))*(2.204622/2)</f>
        <v>891.66984536605503</v>
      </c>
      <c r="I64" s="92">
        <f t="shared" ref="I64:I75" si="18">E64-J64</f>
        <v>3906.5848138578049</v>
      </c>
      <c r="J64" s="93">
        <f>360.253+33.515</f>
        <v>393.76799999999997</v>
      </c>
    </row>
    <row r="65" spans="1:10" x14ac:dyDescent="0.2">
      <c r="A65" t="s">
        <v>174</v>
      </c>
      <c r="B65" s="90">
        <f>+J64</f>
        <v>393.76799999999997</v>
      </c>
      <c r="C65" s="90">
        <f>3655.75+251.965</f>
        <v>3907.7150000000001</v>
      </c>
      <c r="D65" s="90">
        <f>(23368.643+2935+1353.348)*2.204622/2000</f>
        <v>30.486605406201004</v>
      </c>
      <c r="E65" s="92">
        <f t="shared" si="16"/>
        <v>4331.9696054062015</v>
      </c>
      <c r="F65" s="90"/>
      <c r="G65" s="91">
        <f t="shared" si="17"/>
        <v>2766.6980162055961</v>
      </c>
      <c r="H65" s="93">
        <f>((844.248393+15.814+213.576162))*(2.204622/2)</f>
        <v>1183.4835892006051</v>
      </c>
      <c r="I65" s="92">
        <f t="shared" si="18"/>
        <v>3950.1816054062015</v>
      </c>
      <c r="J65" s="93">
        <f>342.962+38.826</f>
        <v>381.78800000000001</v>
      </c>
    </row>
    <row r="66" spans="1:10" x14ac:dyDescent="0.2">
      <c r="A66" t="s">
        <v>175</v>
      </c>
      <c r="B66" s="90">
        <f t="shared" ref="B66:B75" si="19">+J65</f>
        <v>381.78800000000001</v>
      </c>
      <c r="C66" s="90">
        <f>3669.213+262.266</f>
        <v>3931.4790000000003</v>
      </c>
      <c r="D66" s="90">
        <f>(24942.858+4082+1635.392)*2.204622/2000</f>
        <v>33.797130837750004</v>
      </c>
      <c r="E66" s="92">
        <f t="shared" si="16"/>
        <v>4347.0641308377499</v>
      </c>
      <c r="F66" s="90"/>
      <c r="G66" s="91">
        <f t="shared" si="17"/>
        <v>2975.7076822875752</v>
      </c>
      <c r="H66" s="93">
        <f>((745.244112+4.957+219.587313))*(2.204622/2)</f>
        <v>1069.008448550175</v>
      </c>
      <c r="I66" s="92">
        <f t="shared" si="18"/>
        <v>4044.7161308377499</v>
      </c>
      <c r="J66" s="93">
        <f>270.421+31.927</f>
        <v>302.34800000000001</v>
      </c>
    </row>
    <row r="67" spans="1:10" x14ac:dyDescent="0.2">
      <c r="A67" t="s">
        <v>176</v>
      </c>
      <c r="B67" s="90">
        <f t="shared" si="19"/>
        <v>302.34800000000001</v>
      </c>
      <c r="C67" s="90">
        <f>3539.791+256.884</f>
        <v>3796.6750000000002</v>
      </c>
      <c r="D67" s="90">
        <f>(25166.958+4758+365.767)*2.204622/2000</f>
        <v>33.389799365475</v>
      </c>
      <c r="E67" s="92">
        <f t="shared" si="16"/>
        <v>4132.4127993654747</v>
      </c>
      <c r="F67" s="90"/>
      <c r="G67" s="91">
        <f t="shared" si="17"/>
        <v>2621.7602647039112</v>
      </c>
      <c r="H67" s="93">
        <f>((725.889237+8.801+263.534887))*(2.204622/2)</f>
        <v>1100.354534661564</v>
      </c>
      <c r="I67" s="92">
        <f t="shared" si="18"/>
        <v>3722.1147993654749</v>
      </c>
      <c r="J67" s="93">
        <f>368.063+42.235</f>
        <v>410.298</v>
      </c>
    </row>
    <row r="68" spans="1:10" x14ac:dyDescent="0.2">
      <c r="A68" t="s">
        <v>177</v>
      </c>
      <c r="B68" s="90">
        <f t="shared" si="19"/>
        <v>410.298</v>
      </c>
      <c r="C68" s="90">
        <f>3425.236+241.078</f>
        <v>3666.3139999999999</v>
      </c>
      <c r="D68" s="90">
        <f>(24839.815+6908+637.385)*2.204622/2000</f>
        <v>35.698562197199998</v>
      </c>
      <c r="E68" s="92">
        <f t="shared" si="16"/>
        <v>4112.3105621971999</v>
      </c>
      <c r="F68" s="90"/>
      <c r="G68" s="91">
        <f t="shared" si="17"/>
        <v>2542.269476764202</v>
      </c>
      <c r="H68" s="93">
        <f>((895.545031+8.529+191.523387))*(2.204622/2)</f>
        <v>1207.6890854329981</v>
      </c>
      <c r="I68" s="92">
        <f t="shared" si="18"/>
        <v>3749.9585621972001</v>
      </c>
      <c r="J68" s="93">
        <f>330.057+32.295</f>
        <v>362.35200000000003</v>
      </c>
    </row>
    <row r="69" spans="1:10" x14ac:dyDescent="0.2">
      <c r="A69" t="s">
        <v>178</v>
      </c>
      <c r="B69" s="90">
        <f t="shared" si="19"/>
        <v>362.35200000000003</v>
      </c>
      <c r="C69" s="90">
        <f>3677.248+260.298</f>
        <v>3937.5460000000003</v>
      </c>
      <c r="D69" s="90">
        <f>(29351.146+6254+320.272)*2.204622/2000</f>
        <v>39.600983440997993</v>
      </c>
      <c r="E69" s="92">
        <f t="shared" si="16"/>
        <v>4339.498983440998</v>
      </c>
      <c r="F69" s="90"/>
      <c r="G69" s="91">
        <f t="shared" si="17"/>
        <v>2995.2226337774759</v>
      </c>
      <c r="H69" s="93">
        <f>((715.645611+4.575+192.569291))*(2.204622/2)</f>
        <v>1006.1783496635221</v>
      </c>
      <c r="I69" s="92">
        <f t="shared" si="18"/>
        <v>4001.4009834409981</v>
      </c>
      <c r="J69" s="93">
        <f>302.672+35.426</f>
        <v>338.09800000000001</v>
      </c>
    </row>
    <row r="70" spans="1:10" x14ac:dyDescent="0.2">
      <c r="A70" t="s">
        <v>179</v>
      </c>
      <c r="B70" s="90">
        <f t="shared" si="19"/>
        <v>338.09800000000001</v>
      </c>
      <c r="C70" s="90">
        <f>3502.911+243.761</f>
        <v>3746.672</v>
      </c>
      <c r="D70" s="90">
        <f>(38480.991+3492+724.589)*2.204622/2000</f>
        <v>47.066012107380004</v>
      </c>
      <c r="E70" s="92">
        <f t="shared" si="16"/>
        <v>4131.8360121073802</v>
      </c>
      <c r="F70" s="90"/>
      <c r="G70" s="91">
        <f t="shared" si="17"/>
        <v>2657.6908387043277</v>
      </c>
      <c r="H70" s="93">
        <f>((803.224929+5.187+154.906203))*(2.204622/2)</f>
        <v>1061.876173403052</v>
      </c>
      <c r="I70" s="92">
        <f t="shared" si="18"/>
        <v>3719.5670121073799</v>
      </c>
      <c r="J70" s="93">
        <f>365.653+46.616</f>
        <v>412.26900000000001</v>
      </c>
    </row>
    <row r="71" spans="1:10" x14ac:dyDescent="0.2">
      <c r="A71" t="s">
        <v>190</v>
      </c>
      <c r="B71" s="90">
        <f t="shared" si="19"/>
        <v>412.26900000000001</v>
      </c>
      <c r="C71" s="90">
        <f>3561.181+246.358</f>
        <v>3807.5390000000002</v>
      </c>
      <c r="D71" s="90">
        <f>(22966.963+5644+947.411)*2.204622/2000</f>
        <v>32.582520802314001</v>
      </c>
      <c r="E71" s="92">
        <f t="shared" si="16"/>
        <v>4252.3905208023143</v>
      </c>
      <c r="F71" s="90"/>
      <c r="G71" s="91">
        <f t="shared" si="17"/>
        <v>2812.2799784183235</v>
      </c>
      <c r="H71" s="93">
        <f>((812.336895+6.89+133.941986))*(2.204622/2)</f>
        <v>1050.688542383991</v>
      </c>
      <c r="I71" s="92">
        <f t="shared" si="18"/>
        <v>3862.9685208023143</v>
      </c>
      <c r="J71" s="93">
        <f>343.411+46.011</f>
        <v>389.42200000000003</v>
      </c>
    </row>
    <row r="72" spans="1:10" x14ac:dyDescent="0.2">
      <c r="A72" t="s">
        <v>191</v>
      </c>
      <c r="B72" s="90">
        <f t="shared" si="19"/>
        <v>389.42200000000003</v>
      </c>
      <c r="C72" s="90">
        <f>3411.099+235.294</f>
        <v>3646.393</v>
      </c>
      <c r="D72" s="90">
        <f>(19679.308+2313+1350.185)*2.204622/2000</f>
        <v>25.730686801323007</v>
      </c>
      <c r="E72" s="92">
        <f t="shared" si="16"/>
        <v>4061.545686801323</v>
      </c>
      <c r="F72" s="90"/>
      <c r="G72" s="91">
        <f t="shared" si="17"/>
        <v>2990.0518689217397</v>
      </c>
      <c r="H72" s="93">
        <f>((589.374576+8.573+91.818577))*(2.204622/2)</f>
        <v>760.33681787958301</v>
      </c>
      <c r="I72" s="92">
        <f t="shared" si="18"/>
        <v>3750.3886868013228</v>
      </c>
      <c r="J72" s="93">
        <f>281.038+30.119</f>
        <v>311.15700000000004</v>
      </c>
    </row>
    <row r="73" spans="1:10" x14ac:dyDescent="0.2">
      <c r="A73" t="s">
        <v>192</v>
      </c>
      <c r="B73" s="90">
        <f t="shared" si="19"/>
        <v>311.15700000000004</v>
      </c>
      <c r="C73" s="90">
        <f>3403.386+240.805</f>
        <v>3644.1909999999998</v>
      </c>
      <c r="D73" s="90">
        <f>(20165.229+3113+574.81)*2.204622/2000</f>
        <v>26.293467273129</v>
      </c>
      <c r="E73" s="92">
        <f t="shared" si="16"/>
        <v>3981.6414672731289</v>
      </c>
      <c r="F73" s="90"/>
      <c r="G73" s="91">
        <f t="shared" si="17"/>
        <v>2543.4591645280107</v>
      </c>
      <c r="H73" s="93">
        <f>((776.598669+7.542+103.583669))*(2.204622/2)</f>
        <v>978.54830274511801</v>
      </c>
      <c r="I73" s="92">
        <f t="shared" si="18"/>
        <v>3522.0074672731289</v>
      </c>
      <c r="J73" s="93">
        <f>419.802+39.832</f>
        <v>459.63400000000001</v>
      </c>
    </row>
    <row r="74" spans="1:10" x14ac:dyDescent="0.2">
      <c r="A74" t="s">
        <v>193</v>
      </c>
      <c r="B74" s="90">
        <f t="shared" si="19"/>
        <v>459.63400000000001</v>
      </c>
      <c r="C74" s="90">
        <f>3111.301+217.058</f>
        <v>3328.3589999999999</v>
      </c>
      <c r="D74" s="90">
        <f>(23685.027+3922+880.38)*2.204622/2000</f>
        <v>31.401982097577001</v>
      </c>
      <c r="E74" s="92">
        <f t="shared" si="16"/>
        <v>3819.3949820975768</v>
      </c>
      <c r="F74" s="90"/>
      <c r="G74" s="91">
        <f t="shared" si="17"/>
        <v>2789.1519278875626</v>
      </c>
      <c r="H74" s="93">
        <f>((600.564703+6.676+78.208371))*(2.204622/2)</f>
        <v>755.5780542100141</v>
      </c>
      <c r="I74" s="92">
        <f t="shared" si="18"/>
        <v>3544.7299820975768</v>
      </c>
      <c r="J74" s="93">
        <f>247.799+26.866</f>
        <v>274.66500000000002</v>
      </c>
    </row>
    <row r="75" spans="1:10" x14ac:dyDescent="0.2">
      <c r="A75" t="s">
        <v>172</v>
      </c>
      <c r="B75" s="90">
        <f t="shared" si="19"/>
        <v>274.66500000000002</v>
      </c>
      <c r="C75" s="90">
        <f>3042.315+215.143</f>
        <v>3257.4580000000001</v>
      </c>
      <c r="D75" s="90">
        <f>(25177.686+3462+598.154)*2.204622/2000</f>
        <v>32.229192648240002</v>
      </c>
      <c r="E75" s="92">
        <f t="shared" si="16"/>
        <v>3564.3521926482399</v>
      </c>
      <c r="F75" s="90"/>
      <c r="G75" s="91">
        <f t="shared" si="17"/>
        <v>2412.0282878602329</v>
      </c>
      <c r="H75" s="93">
        <f>((677.122957+2.925+125.92958))*(2.204622/2)</f>
        <v>888.43790478800702</v>
      </c>
      <c r="I75" s="92">
        <f t="shared" si="18"/>
        <v>3300.4661926482399</v>
      </c>
      <c r="J75" s="93">
        <f>233.715+30.171</f>
        <v>263.88600000000002</v>
      </c>
    </row>
    <row r="76" spans="1:10" x14ac:dyDescent="0.2">
      <c r="A76" s="21" t="s">
        <v>170</v>
      </c>
      <c r="B76" s="21"/>
      <c r="C76" s="90">
        <f>SUM(C64:C75)</f>
        <v>44671.661999999989</v>
      </c>
      <c r="D76" s="90">
        <f>SUM(D64:D75)</f>
        <v>403.42275683539208</v>
      </c>
      <c r="E76" s="90">
        <f>B64+C76+D76</f>
        <v>45338.970756835377</v>
      </c>
      <c r="F76" s="90"/>
      <c r="G76" s="91">
        <f>SUM(G64:G75)</f>
        <v>33121.235108550703</v>
      </c>
      <c r="H76" s="91">
        <f>SUM(H64:H75)</f>
        <v>11953.849648284682</v>
      </c>
      <c r="I76" s="91">
        <f>SUM(I64:I75)</f>
        <v>45075.084756835386</v>
      </c>
      <c r="J76" s="92"/>
    </row>
    <row r="77" spans="1:10" x14ac:dyDescent="0.2">
      <c r="A77" s="28" t="s">
        <v>44</v>
      </c>
      <c r="B77" s="21"/>
      <c r="C77" s="90"/>
      <c r="D77" s="90"/>
      <c r="E77" s="90"/>
      <c r="F77" s="90"/>
      <c r="G77" s="90"/>
      <c r="H77" s="90"/>
      <c r="I77" s="90"/>
      <c r="J77" s="91"/>
    </row>
    <row r="78" spans="1:10" x14ac:dyDescent="0.2">
      <c r="A78" t="s">
        <v>173</v>
      </c>
      <c r="B78" s="90">
        <f>233.715+30.171</f>
        <v>263.88600000000002</v>
      </c>
      <c r="C78" s="90">
        <f>3830.125+273.917</f>
        <v>4104.0420000000004</v>
      </c>
      <c r="D78" s="90">
        <f>(20102.004+3304+507.805)*2.204622/2000</f>
        <v>26.360454712599005</v>
      </c>
      <c r="E78" s="94">
        <f t="shared" ref="E78:E89" si="20">B78+C78+D78</f>
        <v>4394.2884547125996</v>
      </c>
      <c r="F78" s="95"/>
      <c r="G78" s="93">
        <f t="shared" ref="G78:G89" si="21">I78-H78</f>
        <v>3084.1154310607744</v>
      </c>
      <c r="H78" s="93">
        <f>((693.141819+2.805+150.046756))*(2.204622/2)</f>
        <v>932.54802365182502</v>
      </c>
      <c r="I78" s="94">
        <f t="shared" ref="I78:I89" si="22">E78-J78</f>
        <v>4016.6634547125996</v>
      </c>
      <c r="J78" s="93">
        <f>335.413+42.212</f>
        <v>377.625</v>
      </c>
    </row>
    <row r="79" spans="1:10" x14ac:dyDescent="0.2">
      <c r="A79" t="s">
        <v>174</v>
      </c>
      <c r="B79" s="90">
        <f>+J78</f>
        <v>377.625</v>
      </c>
      <c r="C79" s="90">
        <f>3739.093+273.414</f>
        <v>4012.5069999999996</v>
      </c>
      <c r="D79" s="90">
        <f>(21499.507+3901+120.943)*2.204622/2000</f>
        <v>28.132575070950004</v>
      </c>
      <c r="E79" s="94">
        <f t="shared" si="20"/>
        <v>4418.2645750709498</v>
      </c>
      <c r="F79" s="95"/>
      <c r="G79" s="93">
        <f t="shared" si="21"/>
        <v>2997.7173049214557</v>
      </c>
      <c r="H79" s="93">
        <f>((667.273624+3.395+247.86913))*(2.204622/2)</f>
        <v>1012.5142701494941</v>
      </c>
      <c r="I79" s="94">
        <f t="shared" si="22"/>
        <v>4010.2315750709499</v>
      </c>
      <c r="J79" s="93">
        <f>361.959+46.074</f>
        <v>408.03300000000002</v>
      </c>
    </row>
    <row r="80" spans="1:10" x14ac:dyDescent="0.2">
      <c r="A80" t="s">
        <v>175</v>
      </c>
      <c r="B80" s="90">
        <f t="shared" ref="B80:B89" si="23">+J79</f>
        <v>408.03300000000002</v>
      </c>
      <c r="C80" s="90">
        <f>3690.668+273.479</f>
        <v>3964.1469999999999</v>
      </c>
      <c r="D80" s="90">
        <f>(19136.428+4259+130.318)*2.204622/2000</f>
        <v>25.932688599005999</v>
      </c>
      <c r="E80" s="94">
        <f t="shared" si="20"/>
        <v>4398.1126885990061</v>
      </c>
      <c r="F80" s="95"/>
      <c r="G80" s="93">
        <f t="shared" si="21"/>
        <v>3012.1221897310652</v>
      </c>
      <c r="H80" s="93">
        <f>((650.497579+2.548+199.327752))*(2.204622/2)</f>
        <v>939.58049886794106</v>
      </c>
      <c r="I80" s="94">
        <f t="shared" si="22"/>
        <v>3951.7026885990063</v>
      </c>
      <c r="J80" s="93">
        <f>403.901+42.509</f>
        <v>446.41</v>
      </c>
    </row>
    <row r="81" spans="1:10" x14ac:dyDescent="0.2">
      <c r="A81" t="s">
        <v>176</v>
      </c>
      <c r="B81" s="90">
        <f t="shared" si="23"/>
        <v>446.41</v>
      </c>
      <c r="C81" s="90">
        <f>3763.462+261.739</f>
        <v>4025.201</v>
      </c>
      <c r="D81" s="90">
        <f>(28002.473+4355+726.884)*2.204622/2000</f>
        <v>36.469250649027003</v>
      </c>
      <c r="E81" s="94">
        <f t="shared" si="20"/>
        <v>4508.0802506490272</v>
      </c>
      <c r="F81" s="95"/>
      <c r="G81" s="93">
        <f t="shared" si="21"/>
        <v>2766.0195685578551</v>
      </c>
      <c r="H81" s="93">
        <f>((955.04107+3.027+227.792982))*(2.204622/2)</f>
        <v>1307.1876820911721</v>
      </c>
      <c r="I81" s="94">
        <f t="shared" si="22"/>
        <v>4073.2072506490272</v>
      </c>
      <c r="J81" s="93">
        <f>394.425+40.448</f>
        <v>434.87299999999999</v>
      </c>
    </row>
    <row r="82" spans="1:10" x14ac:dyDescent="0.2">
      <c r="A82" t="s">
        <v>177</v>
      </c>
      <c r="B82" s="90">
        <f t="shared" si="23"/>
        <v>434.87299999999999</v>
      </c>
      <c r="C82" s="90">
        <f>3331.018+228.174</f>
        <v>3559.192</v>
      </c>
      <c r="D82" s="90">
        <f>(28244.05+3893+387.116)*2.204622/2000</f>
        <v>35.851745947626</v>
      </c>
      <c r="E82" s="94">
        <f t="shared" si="20"/>
        <v>4029.9167459476262</v>
      </c>
      <c r="F82" s="95"/>
      <c r="G82" s="93">
        <f t="shared" si="21"/>
        <v>2568.2889825169823</v>
      </c>
      <c r="H82" s="93">
        <f>((813.913628+11.508+133.305776))*(2.204622/2)</f>
        <v>1056.8157634306442</v>
      </c>
      <c r="I82" s="94">
        <f t="shared" si="22"/>
        <v>3625.1047459476263</v>
      </c>
      <c r="J82" s="93">
        <f>372.404+32.408</f>
        <v>404.81200000000001</v>
      </c>
    </row>
    <row r="83" spans="1:10" x14ac:dyDescent="0.2">
      <c r="A83" t="s">
        <v>178</v>
      </c>
      <c r="B83" s="90">
        <f t="shared" si="23"/>
        <v>404.81200000000001</v>
      </c>
      <c r="C83" s="90">
        <f>3528.733+244.932</f>
        <v>3773.665</v>
      </c>
      <c r="D83" s="90">
        <f>(18840.141+3912+533.996)*2.204622/2000</f>
        <v>25.668564962607</v>
      </c>
      <c r="E83" s="94">
        <f t="shared" si="20"/>
        <v>4204.1455649626068</v>
      </c>
      <c r="F83" s="95"/>
      <c r="G83" s="93">
        <f t="shared" si="21"/>
        <v>2392.2603369100138</v>
      </c>
      <c r="H83" s="93">
        <f>((1035.967822+3.391+282.778241))*(2.204622/2)</f>
        <v>1457.4062280525932</v>
      </c>
      <c r="I83" s="94">
        <f t="shared" si="22"/>
        <v>3849.666564962607</v>
      </c>
      <c r="J83" s="93">
        <f>318.123+36.356</f>
        <v>354.47899999999998</v>
      </c>
    </row>
    <row r="84" spans="1:10" x14ac:dyDescent="0.2">
      <c r="A84" t="s">
        <v>179</v>
      </c>
      <c r="B84" s="90">
        <f t="shared" si="23"/>
        <v>354.47899999999998</v>
      </c>
      <c r="C84" s="90">
        <f>3300.745+222.754</f>
        <v>3523.4989999999998</v>
      </c>
      <c r="D84" s="90">
        <f>(22651.37+3430+234.788)*2.204622/2000</f>
        <v>29.008590441138001</v>
      </c>
      <c r="E84" s="94">
        <f t="shared" si="20"/>
        <v>3906.9865904411377</v>
      </c>
      <c r="F84" s="95"/>
      <c r="G84" s="93">
        <f t="shared" si="21"/>
        <v>2567.2236128871587</v>
      </c>
      <c r="H84" s="93">
        <f>((647.266616+15.782+162.156773))*(2.204622/2)</f>
        <v>909.632977553979</v>
      </c>
      <c r="I84" s="94">
        <f t="shared" si="22"/>
        <v>3476.8565904411375</v>
      </c>
      <c r="J84" s="93">
        <f>387.207+42.923</f>
        <v>430.13</v>
      </c>
    </row>
    <row r="85" spans="1:10" x14ac:dyDescent="0.2">
      <c r="A85" t="s">
        <v>190</v>
      </c>
      <c r="B85" s="90">
        <f t="shared" si="23"/>
        <v>430.13</v>
      </c>
      <c r="C85" s="90">
        <f>3491.318+240.712</f>
        <v>3732.03</v>
      </c>
      <c r="D85" s="90">
        <f>(27525.607+4193+551.493)*2.204622/2000</f>
        <v>35.5716862011</v>
      </c>
      <c r="E85" s="94">
        <f t="shared" si="20"/>
        <v>4197.7316862011003</v>
      </c>
      <c r="F85" s="95"/>
      <c r="G85" s="93">
        <f t="shared" si="21"/>
        <v>2971.1634913947382</v>
      </c>
      <c r="H85" s="93">
        <f>((586.449587+7.811+130.195755))*(2.204622/2)</f>
        <v>798.57619480636197</v>
      </c>
      <c r="I85" s="94">
        <f t="shared" si="22"/>
        <v>3769.7396862011001</v>
      </c>
      <c r="J85" s="93">
        <f>375.156+52.836</f>
        <v>427.99200000000002</v>
      </c>
    </row>
    <row r="86" spans="1:10" x14ac:dyDescent="0.2">
      <c r="A86" t="s">
        <v>191</v>
      </c>
      <c r="B86" s="90">
        <f t="shared" si="23"/>
        <v>427.99200000000002</v>
      </c>
      <c r="C86" s="90">
        <f>3268.397+221.13</f>
        <v>3489.527</v>
      </c>
      <c r="D86" s="90">
        <f>(23961.968+3686+352.707)*2.204622/2000</f>
        <v>30.865452059924998</v>
      </c>
      <c r="E86" s="94">
        <f t="shared" si="20"/>
        <v>3948.384452059925</v>
      </c>
      <c r="F86" s="95"/>
      <c r="G86" s="93">
        <f t="shared" si="21"/>
        <v>2747.3025448563221</v>
      </c>
      <c r="H86" s="93">
        <f>((612.308227+13.92+145.877746))*(2.204622/2)</f>
        <v>851.10090720360301</v>
      </c>
      <c r="I86" s="94">
        <f t="shared" si="22"/>
        <v>3598.4034520599253</v>
      </c>
      <c r="J86" s="93">
        <f>314.965+35.016</f>
        <v>349.98099999999999</v>
      </c>
    </row>
    <row r="87" spans="1:10" x14ac:dyDescent="0.2">
      <c r="A87" t="s">
        <v>192</v>
      </c>
      <c r="B87" s="90">
        <f t="shared" si="23"/>
        <v>349.98099999999999</v>
      </c>
      <c r="C87" s="90">
        <f>3400.652+237.432</f>
        <v>3638.0839999999998</v>
      </c>
      <c r="D87" s="90">
        <f>(13691.999+2447+200.791+27.504)*2.204622/2000</f>
        <v>18.041848216434001</v>
      </c>
      <c r="E87" s="94">
        <f t="shared" si="20"/>
        <v>4006.1068482164337</v>
      </c>
      <c r="F87" s="95"/>
      <c r="G87" s="93">
        <f t="shared" si="21"/>
        <v>2809.6254783808527</v>
      </c>
      <c r="H87" s="93">
        <f>((589.901428+5.875+105.280143))*(2.204622/2)</f>
        <v>772.78236983558099</v>
      </c>
      <c r="I87" s="94">
        <f t="shared" si="22"/>
        <v>3582.4078482164336</v>
      </c>
      <c r="J87" s="93">
        <f>385.868+37.831</f>
        <v>423.69900000000001</v>
      </c>
    </row>
    <row r="88" spans="1:10" x14ac:dyDescent="0.2">
      <c r="A88" t="s">
        <v>193</v>
      </c>
      <c r="B88" s="90">
        <f t="shared" si="23"/>
        <v>423.69900000000001</v>
      </c>
      <c r="C88" s="90">
        <f>3319.155+237.324</f>
        <v>3556.4790000000003</v>
      </c>
      <c r="D88" s="90">
        <f>(22385.117+3449+117.308+1855.441)*2.204622/2000</f>
        <v>30.651814267325999</v>
      </c>
      <c r="E88" s="94">
        <f t="shared" si="20"/>
        <v>4010.8298142673261</v>
      </c>
      <c r="F88" s="95"/>
      <c r="G88" s="93">
        <f t="shared" si="21"/>
        <v>2809.0300816867179</v>
      </c>
      <c r="H88" s="93">
        <f>((667.072312+4.113+122.891616))*(2.204622/2)</f>
        <v>875.31973258060816</v>
      </c>
      <c r="I88" s="94">
        <f t="shared" si="22"/>
        <v>3684.3498142673261</v>
      </c>
      <c r="J88" s="93">
        <f>290.921+35.559</f>
        <v>326.48</v>
      </c>
    </row>
    <row r="89" spans="1:10" x14ac:dyDescent="0.2">
      <c r="A89" t="s">
        <v>172</v>
      </c>
      <c r="B89" s="90">
        <f t="shared" si="23"/>
        <v>326.48</v>
      </c>
      <c r="C89" s="90">
        <f>3188.771+219.873</f>
        <v>3408.6440000000002</v>
      </c>
      <c r="D89" s="90">
        <f>(20301.931+4018+105.104+15.191)*2.204622/2000</f>
        <v>26.940729962285999</v>
      </c>
      <c r="E89" s="94">
        <f t="shared" si="20"/>
        <v>3762.064729962286</v>
      </c>
      <c r="F89" s="95"/>
      <c r="G89" s="93">
        <f t="shared" si="21"/>
        <v>2673.986502943299</v>
      </c>
      <c r="H89" s="93">
        <f>((492.505091+4.872+126.265626))*(2.204622/2)</f>
        <v>687.44822701898693</v>
      </c>
      <c r="I89" s="94">
        <f t="shared" si="22"/>
        <v>3361.4347299622859</v>
      </c>
      <c r="J89" s="93">
        <f>353.758+46.872</f>
        <v>400.63</v>
      </c>
    </row>
    <row r="90" spans="1:10" x14ac:dyDescent="0.2">
      <c r="A90" s="16" t="s">
        <v>170</v>
      </c>
      <c r="B90" s="16"/>
      <c r="C90" s="96">
        <f>SUM(C78:C89)</f>
        <v>44787.017</v>
      </c>
      <c r="D90" s="96">
        <f>SUM(D78:D89)</f>
        <v>349.49540109002407</v>
      </c>
      <c r="E90" s="96">
        <f>B78+C90+D90</f>
        <v>45400.398401090024</v>
      </c>
      <c r="F90" s="16"/>
      <c r="G90" s="97">
        <f>SUM(G78:G89)</f>
        <v>33398.855525847233</v>
      </c>
      <c r="H90" s="97">
        <f>SUM(H78:H89)</f>
        <v>11600.912875242791</v>
      </c>
      <c r="I90" s="97">
        <f>SUM(I78:I89)</f>
        <v>44999.768401090027</v>
      </c>
      <c r="J90" s="16"/>
    </row>
    <row r="91" spans="1:10" ht="13.15" customHeight="1" x14ac:dyDescent="0.2">
      <c r="A91" s="28" t="s">
        <v>194</v>
      </c>
    </row>
    <row r="92" spans="1:10" ht="13.15" customHeight="1" x14ac:dyDescent="0.2">
      <c r="A92" t="s">
        <v>195</v>
      </c>
    </row>
    <row r="93" spans="1:10" ht="10.15" customHeight="1" x14ac:dyDescent="0.2">
      <c r="A93" t="s">
        <v>196</v>
      </c>
      <c r="J93" s="51" t="s">
        <v>47</v>
      </c>
    </row>
  </sheetData>
  <pageMargins left="0.7" right="0.7" top="0.75" bottom="0.75" header="0.3" footer="0.3"/>
  <pageSetup scale="70" firstPageNumber="34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04"/>
  <sheetViews>
    <sheetView zoomScaleNormal="100" zoomScaleSheetLayoutView="100" workbookViewId="0">
      <pane xSplit="1" ySplit="6" topLeftCell="B53" activePane="bottomRight" state="frozen"/>
      <selection pane="topRight" activeCell="B1" sqref="B1"/>
      <selection pane="bottomLeft" activeCell="A7" sqref="A7"/>
      <selection pane="bottomRight"/>
    </sheetView>
  </sheetViews>
  <sheetFormatPr defaultRowHeight="11.25" x14ac:dyDescent="0.2"/>
  <cols>
    <col min="1" max="1" width="20.83203125" customWidth="1"/>
    <col min="2" max="5" width="12.83203125" customWidth="1"/>
    <col min="6" max="6" width="3.83203125" customWidth="1"/>
    <col min="7" max="11" width="12.83203125" customWidth="1"/>
  </cols>
  <sheetData>
    <row r="1" spans="1:11" x14ac:dyDescent="0.2">
      <c r="A1" s="15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">
      <c r="B2" s="18"/>
      <c r="C2" s="66" t="s">
        <v>107</v>
      </c>
      <c r="D2" s="18"/>
      <c r="E2" s="18"/>
      <c r="G2" s="18"/>
      <c r="H2" s="73" t="s">
        <v>108</v>
      </c>
      <c r="I2" s="74"/>
      <c r="J2" s="74"/>
    </row>
    <row r="3" spans="1:11" x14ac:dyDescent="0.2">
      <c r="A3" t="s">
        <v>157</v>
      </c>
      <c r="B3" s="33" t="s">
        <v>111</v>
      </c>
      <c r="G3" s="37" t="s">
        <v>136</v>
      </c>
      <c r="K3" s="33" t="s">
        <v>113</v>
      </c>
    </row>
    <row r="4" spans="1:11" x14ac:dyDescent="0.2">
      <c r="A4" t="s">
        <v>110</v>
      </c>
      <c r="B4" s="37" t="s">
        <v>116</v>
      </c>
      <c r="C4" s="37" t="s">
        <v>52</v>
      </c>
      <c r="D4" s="80" t="s">
        <v>117</v>
      </c>
      <c r="E4" s="37" t="s">
        <v>21</v>
      </c>
      <c r="G4" s="98" t="s">
        <v>21</v>
      </c>
      <c r="H4" s="37" t="s">
        <v>197</v>
      </c>
      <c r="I4" s="37" t="s">
        <v>120</v>
      </c>
      <c r="J4" s="37" t="s">
        <v>21</v>
      </c>
      <c r="K4" s="37" t="s">
        <v>116</v>
      </c>
    </row>
    <row r="5" spans="1:11" x14ac:dyDescent="0.2">
      <c r="A5" s="16" t="s">
        <v>189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">
      <c r="C6" s="19"/>
      <c r="D6" s="19"/>
      <c r="E6" s="19"/>
      <c r="F6" s="19"/>
      <c r="G6" s="19" t="s">
        <v>198</v>
      </c>
      <c r="H6" s="19"/>
      <c r="I6" s="19"/>
      <c r="J6" s="19"/>
      <c r="K6" s="19"/>
    </row>
    <row r="7" spans="1:11" x14ac:dyDescent="0.2">
      <c r="A7" t="s">
        <v>35</v>
      </c>
      <c r="B7" s="99"/>
      <c r="C7" s="100"/>
      <c r="D7" s="100"/>
      <c r="E7" s="100"/>
      <c r="F7" s="21"/>
      <c r="G7" s="100"/>
      <c r="H7" s="100"/>
      <c r="I7" s="100"/>
      <c r="J7" s="100"/>
      <c r="K7" s="99"/>
    </row>
    <row r="8" spans="1:11" x14ac:dyDescent="0.2">
      <c r="A8" t="s">
        <v>173</v>
      </c>
      <c r="B8" s="99">
        <f>2725150+360075</f>
        <v>3085225</v>
      </c>
      <c r="C8" s="99">
        <v>1868608.08</v>
      </c>
      <c r="D8" s="101">
        <f>(779.179+0+1059.491+19.983)*2.204622</f>
        <v>4097.627294166</v>
      </c>
      <c r="E8" s="99">
        <f t="shared" ref="E8:E19" si="0">SUM(B8:D8)</f>
        <v>4957930.7072941661</v>
      </c>
      <c r="G8" s="99">
        <f t="shared" ref="G8:G19" si="1">J8-I8</f>
        <v>1600124.8627896982</v>
      </c>
      <c r="H8" s="99">
        <v>246789</v>
      </c>
      <c r="I8" s="99">
        <f>(39723.893+235.167+15374.729+4951.305)*2.204622</f>
        <v>132905.844504468</v>
      </c>
      <c r="J8" s="99">
        <f t="shared" ref="J8:J19" si="2">(E8-K8)</f>
        <v>1733030.7072941661</v>
      </c>
      <c r="K8" s="99">
        <f>2877600+347300</f>
        <v>3224900</v>
      </c>
    </row>
    <row r="9" spans="1:11" x14ac:dyDescent="0.2">
      <c r="A9" t="s">
        <v>174</v>
      </c>
      <c r="B9" s="99">
        <f>+K8</f>
        <v>3224900</v>
      </c>
      <c r="C9" s="99">
        <v>1805433.7</v>
      </c>
      <c r="D9" s="101">
        <f>(924.204+0+426.674+41.43)*2.204622</f>
        <v>3069.5128475760002</v>
      </c>
      <c r="E9" s="99">
        <f t="shared" si="0"/>
        <v>5033403.2128475765</v>
      </c>
      <c r="G9" s="99">
        <f t="shared" si="1"/>
        <v>1600176.1480099745</v>
      </c>
      <c r="H9" s="99">
        <v>219123</v>
      </c>
      <c r="I9" s="99">
        <f>(69743.935+2067.867+12865.534+5146.255)*2.204622</f>
        <v>198027.064837602</v>
      </c>
      <c r="J9" s="99">
        <f t="shared" si="2"/>
        <v>1798203.2128475765</v>
      </c>
      <c r="K9" s="99">
        <f>2917800+317400</f>
        <v>3235200</v>
      </c>
    </row>
    <row r="10" spans="1:11" x14ac:dyDescent="0.2">
      <c r="A10" t="s">
        <v>175</v>
      </c>
      <c r="B10" s="99">
        <f t="shared" ref="B10:B19" si="3">+K9</f>
        <v>3235200</v>
      </c>
      <c r="C10" s="99">
        <v>1879439.8</v>
      </c>
      <c r="D10" s="101">
        <f>(693.076+0+796.479+1.129)*2.204622</f>
        <v>3286.3947414479999</v>
      </c>
      <c r="E10" s="99">
        <f t="shared" si="0"/>
        <v>5117926.1947414475</v>
      </c>
      <c r="G10" s="99">
        <f t="shared" si="1"/>
        <v>1449593.1660758755</v>
      </c>
      <c r="H10" s="99">
        <v>219310</v>
      </c>
      <c r="I10" s="99">
        <f>(140589.659+1102.594+27351.804+8461.669)*2.204622</f>
        <v>391333.02866557206</v>
      </c>
      <c r="J10" s="99">
        <f t="shared" si="2"/>
        <v>1840926.1947414475</v>
      </c>
      <c r="K10" s="99">
        <f>2916100+360900</f>
        <v>3277000</v>
      </c>
    </row>
    <row r="11" spans="1:11" x14ac:dyDescent="0.2">
      <c r="A11" t="s">
        <v>176</v>
      </c>
      <c r="B11" s="99">
        <f t="shared" si="3"/>
        <v>3277000</v>
      </c>
      <c r="C11" s="99">
        <v>1845226.93</v>
      </c>
      <c r="D11" s="101">
        <f>(678.914+0+2050.537+0)*2.204622</f>
        <v>6017.4077225219999</v>
      </c>
      <c r="E11" s="99">
        <f t="shared" si="0"/>
        <v>5128244.3377225213</v>
      </c>
      <c r="G11" s="99">
        <f t="shared" si="1"/>
        <v>1562526.8647112532</v>
      </c>
      <c r="H11" s="99">
        <v>289000</v>
      </c>
      <c r="I11" s="99">
        <f>(56435.197+137.352+12325.444+2626.501)*2.204622</f>
        <v>157684.47301126801</v>
      </c>
      <c r="J11" s="99">
        <f t="shared" si="2"/>
        <v>1720211.3377225213</v>
      </c>
      <c r="K11" s="99">
        <f>3030542+377491</f>
        <v>3408033</v>
      </c>
    </row>
    <row r="12" spans="1:11" x14ac:dyDescent="0.2">
      <c r="A12" t="s">
        <v>177</v>
      </c>
      <c r="B12" s="99">
        <f t="shared" si="3"/>
        <v>3408033</v>
      </c>
      <c r="C12" s="99">
        <v>1687694.5</v>
      </c>
      <c r="D12" s="101">
        <f>(1376.998+0+1736.654+18.845)*2.204622</f>
        <v>6905.9718011340001</v>
      </c>
      <c r="E12" s="99">
        <f t="shared" si="0"/>
        <v>5102633.4718011338</v>
      </c>
      <c r="G12" s="99">
        <f t="shared" si="1"/>
        <v>1314387.6890689977</v>
      </c>
      <c r="H12" s="99">
        <v>247460</v>
      </c>
      <c r="I12" s="99">
        <f>(193315.826+72.804+35357.907+2549.251)*2.204622</f>
        <v>509919.78273213602</v>
      </c>
      <c r="J12" s="99">
        <f t="shared" si="2"/>
        <v>1824307.4718011338</v>
      </c>
      <c r="K12" s="99">
        <f>2899937+378389</f>
        <v>3278326</v>
      </c>
    </row>
    <row r="13" spans="1:11" x14ac:dyDescent="0.2">
      <c r="A13" t="s">
        <v>178</v>
      </c>
      <c r="B13" s="99">
        <f t="shared" si="3"/>
        <v>3278326</v>
      </c>
      <c r="C13" s="99">
        <v>1827761.46</v>
      </c>
      <c r="D13" s="101">
        <f>(2039.507+0+391.555+0)*2.204622</f>
        <v>5359.5727685640004</v>
      </c>
      <c r="E13" s="99">
        <f t="shared" si="0"/>
        <v>5111447.0327685643</v>
      </c>
      <c r="G13" s="99">
        <f t="shared" si="1"/>
        <v>1642450.6141207581</v>
      </c>
      <c r="H13" s="99">
        <v>259520</v>
      </c>
      <c r="I13" s="99">
        <f>(149346.116+268.079+22468.655+2780.423)*2.204622</f>
        <v>385507.41864780604</v>
      </c>
      <c r="J13" s="99">
        <f t="shared" si="2"/>
        <v>2027958.0327685643</v>
      </c>
      <c r="K13" s="99">
        <f>2720543+362946</f>
        <v>3083489</v>
      </c>
    </row>
    <row r="14" spans="1:11" x14ac:dyDescent="0.2">
      <c r="A14" t="s">
        <v>179</v>
      </c>
      <c r="B14" s="99">
        <f t="shared" si="3"/>
        <v>3083489</v>
      </c>
      <c r="C14" s="99">
        <v>1707011.36</v>
      </c>
      <c r="D14" s="101">
        <f>(2235.449+0+1631.076+25.012)*2.204622</f>
        <v>8579.3680840140005</v>
      </c>
      <c r="E14" s="99">
        <f t="shared" si="0"/>
        <v>4799079.7280840147</v>
      </c>
      <c r="G14" s="99">
        <f t="shared" si="1"/>
        <v>1446246.1862078346</v>
      </c>
      <c r="H14" s="99">
        <v>266460</v>
      </c>
      <c r="I14" s="99">
        <f>(168742.41+3136.858+19361.092+2468.83)*2.204622</f>
        <v>427055.54187618004</v>
      </c>
      <c r="J14" s="99">
        <f t="shared" si="2"/>
        <v>1873301.7280840147</v>
      </c>
      <c r="K14" s="99">
        <f>2581100+344678</f>
        <v>2925778</v>
      </c>
    </row>
    <row r="15" spans="1:11" x14ac:dyDescent="0.2">
      <c r="A15" t="s">
        <v>180</v>
      </c>
      <c r="B15" s="99">
        <f t="shared" si="3"/>
        <v>2925778</v>
      </c>
      <c r="C15" s="99">
        <v>1756417.8</v>
      </c>
      <c r="D15" s="101">
        <f>(1064.721+0+1328.946+38.355)*2.204622</f>
        <v>5361.6892056839997</v>
      </c>
      <c r="E15" s="99">
        <f t="shared" si="0"/>
        <v>4687557.4892056836</v>
      </c>
      <c r="G15" s="99">
        <f t="shared" si="1"/>
        <v>1535213.0848976115</v>
      </c>
      <c r="H15" s="99">
        <v>269800</v>
      </c>
      <c r="I15" s="99">
        <f>(52455.149+1633.824+16512.44+3513.063)*2.204622</f>
        <v>163394.404308072</v>
      </c>
      <c r="J15" s="99">
        <f t="shared" si="2"/>
        <v>1698607.4892056836</v>
      </c>
      <c r="K15" s="99">
        <f>2641757+347193</f>
        <v>2988950</v>
      </c>
    </row>
    <row r="16" spans="1:11" x14ac:dyDescent="0.2">
      <c r="A16" t="s">
        <v>191</v>
      </c>
      <c r="B16" s="99">
        <f t="shared" si="3"/>
        <v>2988950</v>
      </c>
      <c r="C16" s="99">
        <v>1632790.52</v>
      </c>
      <c r="D16" s="101">
        <f>(519.277+0+703.719+44.432)*2.204622</f>
        <v>2794.1996522160002</v>
      </c>
      <c r="E16" s="99">
        <f t="shared" si="0"/>
        <v>4624534.719652216</v>
      </c>
      <c r="F16" s="21"/>
      <c r="G16" s="99">
        <f t="shared" si="1"/>
        <v>1546862.1851731921</v>
      </c>
      <c r="H16" s="99">
        <v>298800</v>
      </c>
      <c r="I16" s="99">
        <f>(63019.537+1434.17+12183.167+1241.118)*2.204622</f>
        <v>171691.53447902401</v>
      </c>
      <c r="J16" s="99">
        <f t="shared" si="2"/>
        <v>1718553.719652216</v>
      </c>
      <c r="K16" s="99">
        <f>2565131+340850</f>
        <v>2905981</v>
      </c>
    </row>
    <row r="17" spans="1:11" x14ac:dyDescent="0.2">
      <c r="A17" t="s">
        <v>192</v>
      </c>
      <c r="B17" s="99">
        <f t="shared" si="3"/>
        <v>2905981</v>
      </c>
      <c r="C17" s="99">
        <v>1616379.28</v>
      </c>
      <c r="D17" s="101">
        <f>(1446.196+0+925.748+26.787)*2.204622</f>
        <v>5288.295134682</v>
      </c>
      <c r="E17" s="99">
        <f t="shared" si="0"/>
        <v>4527648.5751346825</v>
      </c>
      <c r="F17" s="21"/>
      <c r="G17" s="99">
        <f t="shared" si="1"/>
        <v>1608898.5870767245</v>
      </c>
      <c r="H17" s="99">
        <v>319100</v>
      </c>
      <c r="I17" s="99">
        <f>(39363.929+822.274+14049.273+2694.913)*2.204622</f>
        <v>125509.98805795799</v>
      </c>
      <c r="J17" s="99">
        <f t="shared" si="2"/>
        <v>1734408.5751346825</v>
      </c>
      <c r="K17" s="99">
        <f>2492182+301058</f>
        <v>2793240</v>
      </c>
    </row>
    <row r="18" spans="1:11" x14ac:dyDescent="0.2">
      <c r="A18" t="s">
        <v>193</v>
      </c>
      <c r="B18" s="99">
        <f t="shared" si="3"/>
        <v>2793240</v>
      </c>
      <c r="C18" s="99">
        <v>1507544.65</v>
      </c>
      <c r="D18" s="101">
        <f>(1807.496+0+2411.757+39.086)*2.204622</f>
        <v>9388.0278428580023</v>
      </c>
      <c r="E18" s="99">
        <f t="shared" si="0"/>
        <v>4310172.6778428582</v>
      </c>
      <c r="F18" s="21"/>
      <c r="G18" s="99">
        <f t="shared" si="1"/>
        <v>1558993.1408341683</v>
      </c>
      <c r="H18" s="99">
        <v>331860</v>
      </c>
      <c r="I18" s="99">
        <f>(62275.894+2252.12+15599.52+3249.361)*2.204622</f>
        <v>183814.53700869001</v>
      </c>
      <c r="J18" s="99">
        <f t="shared" si="2"/>
        <v>1742807.6778428582</v>
      </c>
      <c r="K18" s="99">
        <f>2271966+295399</f>
        <v>2567365</v>
      </c>
    </row>
    <row r="19" spans="1:11" x14ac:dyDescent="0.2">
      <c r="A19" t="s">
        <v>172</v>
      </c>
      <c r="B19" s="99">
        <f t="shared" si="3"/>
        <v>2567365</v>
      </c>
      <c r="C19" s="99">
        <v>1445522.7</v>
      </c>
      <c r="D19" s="101">
        <f>(1297.935+0+1036.948+26.989)*2.204622</f>
        <v>5207.034972384</v>
      </c>
      <c r="E19" s="99">
        <f t="shared" si="0"/>
        <v>4018094.7349723843</v>
      </c>
      <c r="F19" s="21"/>
      <c r="G19" s="99">
        <f t="shared" si="1"/>
        <v>1469292.8966382584</v>
      </c>
      <c r="H19" s="99">
        <v>278100</v>
      </c>
      <c r="I19" s="99">
        <f>(19539.702+168.045+8919.875+495.211)*2.204622</f>
        <v>64204.838334125998</v>
      </c>
      <c r="J19" s="99">
        <f t="shared" si="2"/>
        <v>1533497.7349723843</v>
      </c>
      <c r="K19" s="99">
        <f>2203536+281061</f>
        <v>2484597</v>
      </c>
    </row>
    <row r="20" spans="1:11" x14ac:dyDescent="0.2">
      <c r="A20" s="21" t="s">
        <v>166</v>
      </c>
      <c r="B20" s="99"/>
      <c r="C20" s="99">
        <f>SUM(C8:C19)</f>
        <v>20579830.779999997</v>
      </c>
      <c r="D20" s="101">
        <f>SUM(D8:D19)</f>
        <v>65355.102067248001</v>
      </c>
      <c r="E20" s="99">
        <f>B8+C20+D20</f>
        <v>23730410.882067244</v>
      </c>
      <c r="F20" s="99"/>
      <c r="G20" s="99">
        <f>SUM(G8:G19)</f>
        <v>18334765.425604343</v>
      </c>
      <c r="H20" s="99">
        <f>SUM(H8:H19)</f>
        <v>3245322</v>
      </c>
      <c r="I20" s="99">
        <f>SUM(I8:I19)</f>
        <v>2911048.456462902</v>
      </c>
      <c r="J20" s="99">
        <f>SUM(J8:J19)</f>
        <v>21245813.882067252</v>
      </c>
      <c r="K20" s="99"/>
    </row>
    <row r="21" spans="1:11" x14ac:dyDescent="0.2">
      <c r="A21" t="s">
        <v>36</v>
      </c>
      <c r="B21" s="99"/>
      <c r="C21" s="100"/>
      <c r="D21" s="100"/>
      <c r="E21" s="100"/>
      <c r="F21" s="21"/>
      <c r="G21" s="100"/>
      <c r="H21" s="100"/>
      <c r="I21" s="100"/>
      <c r="J21" s="100"/>
      <c r="K21" s="99"/>
    </row>
    <row r="22" spans="1:11" x14ac:dyDescent="0.2">
      <c r="A22" t="s">
        <v>173</v>
      </c>
      <c r="B22" s="99">
        <f>+K19</f>
        <v>2484597</v>
      </c>
      <c r="C22" s="99">
        <v>1715917.39</v>
      </c>
      <c r="D22" s="101">
        <f>(304.139+0+1857.275+41.55)*2.204622</f>
        <v>4856.7028996080007</v>
      </c>
      <c r="E22" s="99">
        <f t="shared" ref="E22:E33" si="4">SUM(B22:D22)</f>
        <v>4205371.0928996075</v>
      </c>
      <c r="G22" s="99">
        <f t="shared" ref="G22:G33" si="5">J22-I22</f>
        <v>1678766.2555530276</v>
      </c>
      <c r="H22" s="99">
        <v>295300</v>
      </c>
      <c r="I22" s="99">
        <f>(51222.672+177.43+9182.563+2069.725)*2.204622</f>
        <v>138124.83734658</v>
      </c>
      <c r="J22" s="99">
        <f t="shared" ref="J22:J33" si="6">(E22-K22)</f>
        <v>1816891.0928996075</v>
      </c>
      <c r="K22" s="99">
        <f>2085380+303100</f>
        <v>2388480</v>
      </c>
    </row>
    <row r="23" spans="1:11" x14ac:dyDescent="0.2">
      <c r="A23" t="s">
        <v>174</v>
      </c>
      <c r="B23" s="99">
        <f>+K22</f>
        <v>2388480</v>
      </c>
      <c r="C23" s="99">
        <v>1622851</v>
      </c>
      <c r="D23" s="101">
        <f>(604.375+0+3570.334+38.998)*2.204622</f>
        <v>9289.6311537539987</v>
      </c>
      <c r="E23" s="99">
        <f t="shared" si="4"/>
        <v>4020620.631153754</v>
      </c>
      <c r="G23" s="99">
        <f t="shared" si="5"/>
        <v>1399292.377169108</v>
      </c>
      <c r="H23" s="99">
        <v>252352</v>
      </c>
      <c r="I23" s="99">
        <f>(29089.97+577.345+10422.587+6333.591)*2.204622</f>
        <v>102346.25398464601</v>
      </c>
      <c r="J23" s="99">
        <f t="shared" si="6"/>
        <v>1501638.631153754</v>
      </c>
      <c r="K23" s="99">
        <f>2187355+331627</f>
        <v>2518982</v>
      </c>
    </row>
    <row r="24" spans="1:11" x14ac:dyDescent="0.2">
      <c r="A24" t="s">
        <v>175</v>
      </c>
      <c r="B24" s="99">
        <f t="shared" ref="B24:B33" si="7">+K23</f>
        <v>2518982</v>
      </c>
      <c r="C24" s="99">
        <v>1596985.45</v>
      </c>
      <c r="D24" s="101">
        <f>(497.39+0+981.587+25.924)*2.204622</f>
        <v>3317.7378524219998</v>
      </c>
      <c r="E24" s="99">
        <f t="shared" si="4"/>
        <v>4119285.1878524222</v>
      </c>
      <c r="G24" s="99">
        <f t="shared" si="5"/>
        <v>1369809.8572877583</v>
      </c>
      <c r="H24" s="99">
        <v>207000</v>
      </c>
      <c r="I24" s="99">
        <f>(37780.09+289.968+12514.072+3804.482)*2.204622</f>
        <v>119906.33056466399</v>
      </c>
      <c r="J24" s="99">
        <f t="shared" si="6"/>
        <v>1489716.1878524222</v>
      </c>
      <c r="K24" s="99">
        <f>2342799+286770</f>
        <v>2629569</v>
      </c>
    </row>
    <row r="25" spans="1:11" x14ac:dyDescent="0.2">
      <c r="A25" t="s">
        <v>176</v>
      </c>
      <c r="B25" s="99">
        <f t="shared" si="7"/>
        <v>2629569</v>
      </c>
      <c r="C25" s="99">
        <v>1615100</v>
      </c>
      <c r="D25" s="101">
        <f>(1536.629+40.316+2587.048+44.653)*2.204622</f>
        <v>9278.4735618119994</v>
      </c>
      <c r="E25" s="99">
        <f t="shared" si="4"/>
        <v>4253947.4735618122</v>
      </c>
      <c r="G25" s="99">
        <f t="shared" si="5"/>
        <v>1165212.7657604923</v>
      </c>
      <c r="H25" s="99">
        <v>133300</v>
      </c>
      <c r="I25" s="99">
        <f>(28406.049+359.873+13832.241+1143.897)*2.204622</f>
        <v>96434.707801319993</v>
      </c>
      <c r="J25" s="99">
        <f t="shared" si="6"/>
        <v>1261647.4735618122</v>
      </c>
      <c r="K25" s="99">
        <f>2692700+299600</f>
        <v>2992300</v>
      </c>
    </row>
    <row r="26" spans="1:11" x14ac:dyDescent="0.2">
      <c r="A26" t="s">
        <v>177</v>
      </c>
      <c r="B26" s="99">
        <f t="shared" si="7"/>
        <v>2992300</v>
      </c>
      <c r="C26" s="99">
        <v>1536100</v>
      </c>
      <c r="D26" s="101">
        <f>(3593.173+0+956.056+33.472)*2.204622</f>
        <v>10103.123444021998</v>
      </c>
      <c r="E26" s="99">
        <f t="shared" si="4"/>
        <v>4538503.1234440217</v>
      </c>
      <c r="G26" s="99">
        <f t="shared" si="5"/>
        <v>1268509.7823942716</v>
      </c>
      <c r="H26" s="99">
        <v>195900</v>
      </c>
      <c r="I26" s="99">
        <f>(58139.861+688.723+5555.492+1792.049)*2.204622</f>
        <v>145893.34104975002</v>
      </c>
      <c r="J26" s="99">
        <f t="shared" si="6"/>
        <v>1414403.1234440217</v>
      </c>
      <c r="K26" s="99">
        <f>2816900+307200</f>
        <v>3124100</v>
      </c>
    </row>
    <row r="27" spans="1:11" x14ac:dyDescent="0.2">
      <c r="A27" t="s">
        <v>178</v>
      </c>
      <c r="B27" s="99">
        <f t="shared" si="7"/>
        <v>3124100</v>
      </c>
      <c r="C27" s="99">
        <v>1636000</v>
      </c>
      <c r="D27" s="101">
        <f>(3560.135+0+1058.012+62.614)*2.204622</f>
        <v>10319.308677342</v>
      </c>
      <c r="E27" s="99">
        <f t="shared" si="4"/>
        <v>4770419.3086773418</v>
      </c>
      <c r="G27" s="99">
        <f t="shared" si="5"/>
        <v>1417531.8594100478</v>
      </c>
      <c r="H27" s="99">
        <v>107400</v>
      </c>
      <c r="I27" s="99">
        <f>(53146.805+1764.707+17647.615+599.65)*2.204622</f>
        <v>161287.449267294</v>
      </c>
      <c r="J27" s="99">
        <f t="shared" si="6"/>
        <v>1578819.3086773418</v>
      </c>
      <c r="K27" s="99">
        <f>2904200+287400</f>
        <v>3191600</v>
      </c>
    </row>
    <row r="28" spans="1:11" x14ac:dyDescent="0.2">
      <c r="A28" t="s">
        <v>179</v>
      </c>
      <c r="B28" s="99">
        <f t="shared" si="7"/>
        <v>3191600</v>
      </c>
      <c r="C28" s="99">
        <v>1596000</v>
      </c>
      <c r="D28" s="101">
        <f>(1988.682+0+2794.493+40.217)*2.204622</f>
        <v>10633.756117823999</v>
      </c>
      <c r="E28" s="99">
        <f t="shared" si="4"/>
        <v>4798233.7561178245</v>
      </c>
      <c r="G28" s="99">
        <f t="shared" si="5"/>
        <v>1168516.9944416145</v>
      </c>
      <c r="H28" s="99">
        <v>98500</v>
      </c>
      <c r="I28" s="99">
        <f>(146874.998+2425.446+8043.284+1557.327)*2.204622</f>
        <v>350316.76167620998</v>
      </c>
      <c r="J28" s="99">
        <f t="shared" si="6"/>
        <v>1518833.7561178245</v>
      </c>
      <c r="K28" s="99">
        <f>2975600+303800</f>
        <v>3279400</v>
      </c>
    </row>
    <row r="29" spans="1:11" x14ac:dyDescent="0.2">
      <c r="A29" t="s">
        <v>180</v>
      </c>
      <c r="B29" s="99">
        <f t="shared" si="7"/>
        <v>3279400</v>
      </c>
      <c r="C29" s="99">
        <v>1683200</v>
      </c>
      <c r="D29" s="101">
        <f>(154.604+0+1197.699+48.122)*2.204622</f>
        <v>3087.4077643500004</v>
      </c>
      <c r="E29" s="99">
        <f t="shared" si="4"/>
        <v>4965687.4077643501</v>
      </c>
      <c r="G29" s="99">
        <f t="shared" si="5"/>
        <v>1349041.2581661821</v>
      </c>
      <c r="H29" s="99">
        <v>98600</v>
      </c>
      <c r="I29" s="99">
        <f>(120537.774+364.018+4746.998+394.654)*2.204622</f>
        <v>277878.14959816803</v>
      </c>
      <c r="J29" s="99">
        <f t="shared" si="6"/>
        <v>1626919.4077643501</v>
      </c>
      <c r="K29" s="99">
        <f>3034747+304021</f>
        <v>3338768</v>
      </c>
    </row>
    <row r="30" spans="1:11" x14ac:dyDescent="0.2">
      <c r="A30" t="s">
        <v>191</v>
      </c>
      <c r="B30" s="99">
        <f t="shared" si="7"/>
        <v>3338768</v>
      </c>
      <c r="C30" s="99">
        <v>1604322</v>
      </c>
      <c r="D30" s="101">
        <f>(661.038+0+1409.601+57.432)*2.204622</f>
        <v>4691.5921441620003</v>
      </c>
      <c r="E30" s="99">
        <f t="shared" si="4"/>
        <v>4947781.5921441624</v>
      </c>
      <c r="F30" s="21"/>
      <c r="G30" s="99">
        <f t="shared" si="5"/>
        <v>1330976.6914283345</v>
      </c>
      <c r="H30" s="99">
        <v>118300</v>
      </c>
      <c r="I30" s="99">
        <f>(31859.73+272.159+6022.843+1083.242)*2.204622</f>
        <v>86504.900715827986</v>
      </c>
      <c r="J30" s="99">
        <f t="shared" si="6"/>
        <v>1417481.5921441624</v>
      </c>
      <c r="K30" s="99">
        <f>3237500+292800</f>
        <v>3530300</v>
      </c>
    </row>
    <row r="31" spans="1:11" x14ac:dyDescent="0.2">
      <c r="A31" t="s">
        <v>192</v>
      </c>
      <c r="B31" s="99">
        <f t="shared" si="7"/>
        <v>3530300</v>
      </c>
      <c r="C31" s="99">
        <v>1469173</v>
      </c>
      <c r="D31" s="101">
        <f>(1662.807+19.232+1933.299+42.877)*2.204622</f>
        <v>8064.9812697299994</v>
      </c>
      <c r="E31" s="99">
        <f t="shared" si="4"/>
        <v>5007537.9812697303</v>
      </c>
      <c r="F31" s="21"/>
      <c r="G31" s="99">
        <f t="shared" si="5"/>
        <v>1311025.9340922562</v>
      </c>
      <c r="H31" s="99">
        <v>164300</v>
      </c>
      <c r="I31" s="99">
        <f>(91435.885+1566.022+18237.393+1075.667)*2.204622</f>
        <v>247612.04717747399</v>
      </c>
      <c r="J31" s="99">
        <f t="shared" si="6"/>
        <v>1558637.9812697303</v>
      </c>
      <c r="K31" s="99">
        <f>3148700+300200</f>
        <v>3448900</v>
      </c>
    </row>
    <row r="32" spans="1:11" x14ac:dyDescent="0.2">
      <c r="A32" t="s">
        <v>193</v>
      </c>
      <c r="B32" s="99">
        <f t="shared" si="7"/>
        <v>3448900</v>
      </c>
      <c r="C32" s="99">
        <v>1369400</v>
      </c>
      <c r="D32" s="101">
        <f>(1577.742+0+1962.82+40.733)*2.204622</f>
        <v>7895.4017454900004</v>
      </c>
      <c r="E32" s="99">
        <f t="shared" si="4"/>
        <v>4826195.4017454898</v>
      </c>
      <c r="F32" s="21"/>
      <c r="G32" s="99">
        <f t="shared" si="5"/>
        <v>1389256.9479060697</v>
      </c>
      <c r="H32" s="99">
        <v>174800</v>
      </c>
      <c r="I32" s="99">
        <f>(129590.498+60.432+7192.973+566.707)*2.204622</f>
        <v>302938.45383942005</v>
      </c>
      <c r="J32" s="99">
        <f t="shared" si="6"/>
        <v>1692195.4017454898</v>
      </c>
      <c r="K32" s="99">
        <f>2863900+270100</f>
        <v>3134000</v>
      </c>
    </row>
    <row r="33" spans="1:11" x14ac:dyDescent="0.2">
      <c r="A33" t="s">
        <v>172</v>
      </c>
      <c r="B33" s="99">
        <f t="shared" si="7"/>
        <v>3134000</v>
      </c>
      <c r="C33" s="99">
        <v>1299919</v>
      </c>
      <c r="D33" s="101">
        <f>(1109.021+0+2487.315+50.252)*2.204622</f>
        <v>8039.3481297360004</v>
      </c>
      <c r="E33" s="99">
        <f t="shared" si="4"/>
        <v>4441958.3481297363</v>
      </c>
      <c r="F33" s="21"/>
      <c r="G33" s="99">
        <f t="shared" si="5"/>
        <v>1417263.1611772263</v>
      </c>
      <c r="H33" s="99">
        <v>223000</v>
      </c>
      <c r="I33" s="99">
        <f>(62943.533+116.282+11084.385+333.505)*2.204622</f>
        <v>164195.18695251</v>
      </c>
      <c r="J33" s="99">
        <f t="shared" si="6"/>
        <v>1581458.3481297363</v>
      </c>
      <c r="K33" s="99">
        <f>2612500+248000</f>
        <v>2860500</v>
      </c>
    </row>
    <row r="34" spans="1:11" x14ac:dyDescent="0.2">
      <c r="A34" s="21" t="s">
        <v>166</v>
      </c>
      <c r="B34" s="99"/>
      <c r="C34" s="99">
        <f>SUM(C22:C33)</f>
        <v>18744967.84</v>
      </c>
      <c r="D34" s="101">
        <f>SUM(D22:D33)</f>
        <v>89577.464760251984</v>
      </c>
      <c r="E34" s="99">
        <f>B22+C34+D34</f>
        <v>21319142.304760251</v>
      </c>
      <c r="F34" s="99"/>
      <c r="G34" s="99">
        <f>SUM(G22:G33)</f>
        <v>16265203.88478639</v>
      </c>
      <c r="H34" s="99">
        <f>SUM(H22:H33)</f>
        <v>2068752</v>
      </c>
      <c r="I34" s="99">
        <f>SUM(I22:I33)</f>
        <v>2193438.4199738642</v>
      </c>
      <c r="J34" s="99">
        <f>SUM(J22:J33)</f>
        <v>18458642.304760247</v>
      </c>
      <c r="K34" s="99"/>
    </row>
    <row r="35" spans="1:11" x14ac:dyDescent="0.2">
      <c r="A35" s="28" t="s">
        <v>37</v>
      </c>
      <c r="B35" s="99"/>
      <c r="C35" s="100"/>
      <c r="D35" s="100"/>
      <c r="E35" s="100"/>
      <c r="F35" s="21"/>
      <c r="G35" s="100"/>
      <c r="H35" s="100"/>
      <c r="I35" s="100"/>
      <c r="J35" s="100"/>
      <c r="K35" s="99"/>
    </row>
    <row r="36" spans="1:11" x14ac:dyDescent="0.2">
      <c r="A36" t="s">
        <v>173</v>
      </c>
      <c r="B36" s="99">
        <f>+K33</f>
        <v>2860500</v>
      </c>
      <c r="C36" s="99">
        <v>1825200</v>
      </c>
      <c r="D36" s="101">
        <f>(1010.118+18.316+2158.748+28.092)*2.204622</f>
        <v>7088.463796428</v>
      </c>
      <c r="E36" s="99">
        <f t="shared" ref="E36:E47" si="8">SUM(B36:D36)</f>
        <v>4692788.4637964284</v>
      </c>
      <c r="G36" s="99">
        <f t="shared" ref="G36:G47" si="9">J36-I36</f>
        <v>1551272.5219528244</v>
      </c>
      <c r="H36" s="99">
        <v>246800</v>
      </c>
      <c r="I36" s="99">
        <f>(136262.536+118.268+13549.491+719.087)*2.204622</f>
        <v>332124.94184360403</v>
      </c>
      <c r="J36" s="99">
        <f t="shared" ref="J36:J47" si="10">(E36-K36)</f>
        <v>1883397.4637964284</v>
      </c>
      <c r="K36" s="99">
        <f>2547700+261691</f>
        <v>2809391</v>
      </c>
    </row>
    <row r="37" spans="1:11" x14ac:dyDescent="0.2">
      <c r="A37" t="s">
        <v>174</v>
      </c>
      <c r="B37" s="99">
        <f>+K36</f>
        <v>2809391</v>
      </c>
      <c r="C37" s="99">
        <v>1853955</v>
      </c>
      <c r="D37" s="101">
        <f>(1661.49+0+2673.529+33.209)*2.204622</f>
        <v>9630.291549816</v>
      </c>
      <c r="E37" s="99">
        <f t="shared" si="8"/>
        <v>4672976.2915498158</v>
      </c>
      <c r="G37" s="99">
        <f t="shared" si="9"/>
        <v>1441405.8450678037</v>
      </c>
      <c r="H37" s="99">
        <v>239388</v>
      </c>
      <c r="I37" s="99">
        <f>(89018.672+137.192+19472.689+719.193)*2.204622</f>
        <v>241070.44648201202</v>
      </c>
      <c r="J37" s="99">
        <f t="shared" si="10"/>
        <v>1682476.2915498158</v>
      </c>
      <c r="K37" s="99">
        <f>2712000+278500</f>
        <v>2990500</v>
      </c>
    </row>
    <row r="38" spans="1:11" x14ac:dyDescent="0.2">
      <c r="A38" t="s">
        <v>175</v>
      </c>
      <c r="B38" s="99">
        <f t="shared" ref="B38:B47" si="11">+K37</f>
        <v>2990500</v>
      </c>
      <c r="C38" s="99">
        <v>1898259</v>
      </c>
      <c r="D38" s="101">
        <f>(2580.323+0+2004.798+39.532)*2.204622</f>
        <v>10195.611746166001</v>
      </c>
      <c r="E38" s="99">
        <f t="shared" si="8"/>
        <v>4898954.6117461659</v>
      </c>
      <c r="G38" s="99">
        <f t="shared" si="9"/>
        <v>1358145.2441907439</v>
      </c>
      <c r="H38" s="99">
        <v>236991</v>
      </c>
      <c r="I38" s="99">
        <f>(156263.077+348.372+20319.023+110.929)*2.204622</f>
        <v>390309.36755542207</v>
      </c>
      <c r="J38" s="99">
        <f t="shared" si="10"/>
        <v>1748454.6117461659</v>
      </c>
      <c r="K38" s="99">
        <f>2874700+275800</f>
        <v>3150500</v>
      </c>
    </row>
    <row r="39" spans="1:11" x14ac:dyDescent="0.2">
      <c r="A39" t="s">
        <v>176</v>
      </c>
      <c r="B39" s="99">
        <f t="shared" si="11"/>
        <v>3150500</v>
      </c>
      <c r="C39" s="99">
        <v>1844855.74</v>
      </c>
      <c r="D39" s="101">
        <f>(3823.805+19.232+2332.103+38.917)*2.204622</f>
        <v>13699.646771453999</v>
      </c>
      <c r="E39" s="99">
        <f t="shared" si="8"/>
        <v>5009055.3867714545</v>
      </c>
      <c r="G39" s="99">
        <f t="shared" si="9"/>
        <v>1273502.9440347764</v>
      </c>
      <c r="H39" s="99">
        <v>93713</v>
      </c>
      <c r="I39" s="99">
        <f>(215338.815+218.674+17017.503+509.157)*2.204622</f>
        <v>513862.44273667806</v>
      </c>
      <c r="J39" s="99">
        <f t="shared" si="10"/>
        <v>1787365.3867714545</v>
      </c>
      <c r="K39" s="99">
        <f>2936532+285158</f>
        <v>3221690</v>
      </c>
    </row>
    <row r="40" spans="1:11" x14ac:dyDescent="0.2">
      <c r="A40" t="s">
        <v>177</v>
      </c>
      <c r="B40" s="99">
        <f t="shared" si="11"/>
        <v>3221690</v>
      </c>
      <c r="C40" s="99">
        <v>1690098</v>
      </c>
      <c r="D40" s="101">
        <f>(3429.108+0+2817.937+14.07)*2.204622</f>
        <v>13803.391873529999</v>
      </c>
      <c r="E40" s="99">
        <f t="shared" si="8"/>
        <v>4925591.3918735301</v>
      </c>
      <c r="G40" s="99">
        <f t="shared" si="9"/>
        <v>1230361.0815909239</v>
      </c>
      <c r="H40" s="99">
        <v>109518</v>
      </c>
      <c r="I40" s="99">
        <f>(162903.453+1648.061+16359.722+315.437)*2.204622</f>
        <v>399536.31028260605</v>
      </c>
      <c r="J40" s="99">
        <f t="shared" si="10"/>
        <v>1629897.3918735301</v>
      </c>
      <c r="K40" s="99">
        <f>2994436+301258</f>
        <v>3295694</v>
      </c>
    </row>
    <row r="41" spans="1:11" x14ac:dyDescent="0.2">
      <c r="A41" t="s">
        <v>178</v>
      </c>
      <c r="B41" s="99">
        <f t="shared" si="11"/>
        <v>3295694</v>
      </c>
      <c r="C41" s="99">
        <v>1727705.71</v>
      </c>
      <c r="D41" s="101">
        <f>(280.052+9.2+1634.291+37.674)*2.204622</f>
        <v>4323.7421449739995</v>
      </c>
      <c r="E41" s="99">
        <f t="shared" si="8"/>
        <v>5027723.4521449739</v>
      </c>
      <c r="G41" s="99">
        <f t="shared" si="9"/>
        <v>1302040.5546392901</v>
      </c>
      <c r="H41" s="99">
        <v>133736</v>
      </c>
      <c r="I41" s="99">
        <f>(155132.552+3115.466+26389.549+444.455)*2.204622</f>
        <v>408035.89750568394</v>
      </c>
      <c r="J41" s="99">
        <f t="shared" si="10"/>
        <v>1710076.4521449739</v>
      </c>
      <c r="K41" s="99">
        <f>3048158+269489</f>
        <v>3317647</v>
      </c>
    </row>
    <row r="42" spans="1:11" x14ac:dyDescent="0.2">
      <c r="A42" t="s">
        <v>179</v>
      </c>
      <c r="B42" s="99">
        <f t="shared" si="11"/>
        <v>3317647</v>
      </c>
      <c r="C42" s="99">
        <v>1518120.3</v>
      </c>
      <c r="D42" s="101">
        <f>(1286.61+19.232+2435.488+34.22)*2.204622</f>
        <v>8323.6605920999991</v>
      </c>
      <c r="E42" s="99">
        <f t="shared" si="8"/>
        <v>4844090.9605920995</v>
      </c>
      <c r="G42" s="99">
        <f t="shared" si="9"/>
        <v>1281297.1265738034</v>
      </c>
      <c r="H42" s="99">
        <v>123179</v>
      </c>
      <c r="I42" s="99">
        <f>(53994.097+3563.62+9115.195+459.156)*2.204622</f>
        <v>148000.83401829604</v>
      </c>
      <c r="J42" s="99">
        <f t="shared" si="10"/>
        <v>1429297.9605920995</v>
      </c>
      <c r="K42" s="99">
        <f>3151812+262981</f>
        <v>3414793</v>
      </c>
    </row>
    <row r="43" spans="1:11" x14ac:dyDescent="0.2">
      <c r="A43" t="s">
        <v>180</v>
      </c>
      <c r="B43" s="99">
        <f t="shared" si="11"/>
        <v>3414793</v>
      </c>
      <c r="C43" s="99">
        <v>1481564.85</v>
      </c>
      <c r="D43" s="101">
        <f>(270.003+0+4582.288+31.136)*2.204622</f>
        <v>10766.110599594</v>
      </c>
      <c r="E43" s="99">
        <f t="shared" si="8"/>
        <v>4907123.9605995938</v>
      </c>
      <c r="G43" s="99">
        <f t="shared" si="9"/>
        <v>1307987.4361170598</v>
      </c>
      <c r="H43" s="99">
        <v>106503</v>
      </c>
      <c r="I43" s="99">
        <f>(25541.158+243.825+8816.729+424.485)*2.204622</f>
        <v>77219.524482534005</v>
      </c>
      <c r="J43" s="99">
        <f t="shared" si="10"/>
        <v>1385206.9605995938</v>
      </c>
      <c r="K43" s="99">
        <f>3237012+284905</f>
        <v>3521917</v>
      </c>
    </row>
    <row r="44" spans="1:11" x14ac:dyDescent="0.2">
      <c r="A44" t="s">
        <v>191</v>
      </c>
      <c r="B44" s="99">
        <f t="shared" si="11"/>
        <v>3521917</v>
      </c>
      <c r="C44" s="99">
        <v>1442238.9</v>
      </c>
      <c r="D44" s="101">
        <f>(215.463+0+2268.523+28.2)*2.204622</f>
        <v>5538.4205236920006</v>
      </c>
      <c r="E44" s="99">
        <f t="shared" si="8"/>
        <v>4969694.3205236923</v>
      </c>
      <c r="F44" s="21"/>
      <c r="G44" s="99">
        <f t="shared" si="9"/>
        <v>1243152.4655536884</v>
      </c>
      <c r="H44" s="99">
        <v>94804</v>
      </c>
      <c r="I44" s="99">
        <f>(43654.64+298.281+14165.984+421.677)*2.204622</f>
        <v>129059.85497000402</v>
      </c>
      <c r="J44" s="99">
        <f t="shared" si="10"/>
        <v>1372212.3205236923</v>
      </c>
      <c r="K44" s="99">
        <f>3297846+299636</f>
        <v>3597482</v>
      </c>
    </row>
    <row r="45" spans="1:11" x14ac:dyDescent="0.2">
      <c r="A45" t="s">
        <v>192</v>
      </c>
      <c r="B45" s="99">
        <f t="shared" si="11"/>
        <v>3597482</v>
      </c>
      <c r="C45" s="99">
        <v>1440451.02</v>
      </c>
      <c r="D45" s="101">
        <f>(139.41+12+2598.508+32.316)*2.204622</f>
        <v>6133.7742855479992</v>
      </c>
      <c r="E45" s="99">
        <f t="shared" si="8"/>
        <v>5044066.7942855479</v>
      </c>
      <c r="F45" s="21"/>
      <c r="G45" s="99">
        <f t="shared" si="9"/>
        <v>1270650.8633366758</v>
      </c>
      <c r="H45" s="99">
        <v>103575</v>
      </c>
      <c r="I45" s="99">
        <f>(73854.937+167.281+7144.5+184.158)*2.204622</f>
        <v>179347.930948872</v>
      </c>
      <c r="J45" s="99">
        <f t="shared" si="10"/>
        <v>1449998.7942855479</v>
      </c>
      <c r="K45" s="99">
        <f>3312471+281597</f>
        <v>3594068</v>
      </c>
    </row>
    <row r="46" spans="1:11" x14ac:dyDescent="0.2">
      <c r="A46" t="s">
        <v>193</v>
      </c>
      <c r="B46" s="99">
        <f t="shared" si="11"/>
        <v>3594068</v>
      </c>
      <c r="C46" s="99">
        <v>1418447.8</v>
      </c>
      <c r="D46" s="101">
        <f>(162.42+0+3548.555+22.157)*2.204622</f>
        <v>8230.1449361040013</v>
      </c>
      <c r="E46" s="99">
        <f t="shared" si="8"/>
        <v>5020745.9449361041</v>
      </c>
      <c r="F46" s="21"/>
      <c r="G46" s="99">
        <f t="shared" si="9"/>
        <v>1317294.1507550301</v>
      </c>
      <c r="H46" s="99">
        <v>95755</v>
      </c>
      <c r="I46" s="99">
        <f>(155958.77+85.878+9452.7+341.419)*2.204622</f>
        <v>365611.79418107402</v>
      </c>
      <c r="J46" s="99">
        <f t="shared" si="10"/>
        <v>1682905.9449361041</v>
      </c>
      <c r="K46" s="99">
        <f>3081425+256415</f>
        <v>3337840</v>
      </c>
    </row>
    <row r="47" spans="1:11" x14ac:dyDescent="0.2">
      <c r="A47" t="s">
        <v>172</v>
      </c>
      <c r="B47" s="99">
        <f t="shared" si="11"/>
        <v>3337840</v>
      </c>
      <c r="C47" s="99">
        <v>1474417.2</v>
      </c>
      <c r="D47" s="101">
        <f>(166.571+7+1986.609+38.086)*2.204622</f>
        <v>4846.3455854519998</v>
      </c>
      <c r="E47" s="99">
        <f t="shared" si="8"/>
        <v>4817103.5455854526</v>
      </c>
      <c r="F47" s="21"/>
      <c r="G47" s="99">
        <f t="shared" si="9"/>
        <v>1236835.9198885367</v>
      </c>
      <c r="H47" s="99">
        <v>96341</v>
      </c>
      <c r="I47" s="99">
        <f>(70158.916+94.777+8598.87+293.715)*2.204622</f>
        <v>174487.62569691599</v>
      </c>
      <c r="J47" s="99">
        <f t="shared" si="10"/>
        <v>1411323.5455854526</v>
      </c>
      <c r="K47" s="99">
        <f>3127263+278517</f>
        <v>3405780</v>
      </c>
    </row>
    <row r="48" spans="1:11" x14ac:dyDescent="0.2">
      <c r="A48" s="21" t="s">
        <v>166</v>
      </c>
      <c r="B48" s="99"/>
      <c r="C48" s="99">
        <f>SUM(C36:C47)</f>
        <v>19615313.52</v>
      </c>
      <c r="D48" s="101">
        <f>SUM(D36:D47)</f>
        <v>102579.60440485799</v>
      </c>
      <c r="E48" s="99">
        <f>B36+C48+D48</f>
        <v>22578393.124404859</v>
      </c>
      <c r="F48" s="99"/>
      <c r="G48" s="99">
        <f>SUM(G36:G47)</f>
        <v>15813946.153701156</v>
      </c>
      <c r="H48" s="99">
        <f>SUM(H36:H47)</f>
        <v>1680303</v>
      </c>
      <c r="I48" s="99">
        <f>SUM(I36:I47)</f>
        <v>3358666.970703702</v>
      </c>
      <c r="J48" s="99">
        <f>SUM(J36:J47)</f>
        <v>19172613.124404859</v>
      </c>
      <c r="K48" s="99"/>
    </row>
    <row r="49" spans="1:11" x14ac:dyDescent="0.2">
      <c r="A49" s="28" t="s">
        <v>38</v>
      </c>
      <c r="B49" s="99"/>
      <c r="C49" s="100"/>
      <c r="D49" s="100"/>
      <c r="E49" s="100"/>
      <c r="F49" s="21"/>
      <c r="G49" s="100"/>
      <c r="H49" s="100"/>
      <c r="I49" s="100"/>
      <c r="J49" s="100"/>
      <c r="K49" s="99"/>
    </row>
    <row r="50" spans="1:11" x14ac:dyDescent="0.2">
      <c r="A50" t="s">
        <v>173</v>
      </c>
      <c r="B50" s="99">
        <f>+K47</f>
        <v>3405780</v>
      </c>
      <c r="C50" s="99">
        <v>1790543.39</v>
      </c>
      <c r="D50" s="101">
        <f>(819.417+0+2665.457+34.172)*2.204622</f>
        <v>7758.1662306119997</v>
      </c>
      <c r="E50" s="99">
        <f t="shared" ref="E50:E61" si="12">SUM(B50:D50)</f>
        <v>5204081.5562306121</v>
      </c>
      <c r="G50" s="99">
        <f t="shared" ref="G50:G61" si="13">J50-I50</f>
        <v>1478813.626352526</v>
      </c>
      <c r="H50" s="99">
        <v>102262</v>
      </c>
      <c r="I50" s="99">
        <f>(179782.844+95.695+19259.311+581.163)*2.204622</f>
        <v>440304.92987808608</v>
      </c>
      <c r="J50" s="99">
        <f t="shared" ref="J50:J61" si="14">(E50-K50)</f>
        <v>1919118.5562306121</v>
      </c>
      <c r="K50" s="99">
        <f>3010655+274308</f>
        <v>3284963</v>
      </c>
    </row>
    <row r="51" spans="1:11" x14ac:dyDescent="0.2">
      <c r="A51" t="s">
        <v>174</v>
      </c>
      <c r="B51" s="99">
        <f>+K50</f>
        <v>3284963</v>
      </c>
      <c r="C51" s="99">
        <v>1771201.2</v>
      </c>
      <c r="D51" s="101">
        <f>(4839.373+0+3066.841+7.64)*2.204622</f>
        <v>17447.056633188</v>
      </c>
      <c r="E51" s="99">
        <f t="shared" si="12"/>
        <v>5073611.2566331886</v>
      </c>
      <c r="G51" s="99">
        <f t="shared" si="13"/>
        <v>1291619.1662994465</v>
      </c>
      <c r="H51" s="99">
        <v>70455</v>
      </c>
      <c r="I51" s="99">
        <f>(181206.649+3502.407+11373.843+104.062)*2.204622</f>
        <v>432518.09033374203</v>
      </c>
      <c r="J51" s="99">
        <f t="shared" si="14"/>
        <v>1724137.2566331886</v>
      </c>
      <c r="K51" s="99">
        <f>3049295+300179</f>
        <v>3349474</v>
      </c>
    </row>
    <row r="52" spans="1:11" x14ac:dyDescent="0.2">
      <c r="A52" t="s">
        <v>175</v>
      </c>
      <c r="B52" s="99">
        <f t="shared" ref="B52:B61" si="15">+K51</f>
        <v>3349474</v>
      </c>
      <c r="C52" s="99">
        <v>1731506.15</v>
      </c>
      <c r="D52" s="101">
        <f>(5320.398+0+2940.72+11.44)*2.204622</f>
        <v>18237.863363076001</v>
      </c>
      <c r="E52" s="99">
        <f t="shared" si="12"/>
        <v>5099218.0133630764</v>
      </c>
      <c r="G52" s="99">
        <f t="shared" si="13"/>
        <v>1172812.3896944083</v>
      </c>
      <c r="H52" s="99">
        <v>53884</v>
      </c>
      <c r="I52" s="99">
        <f>(152901.749+2637.656+23212.57+174.219)*2.204622</f>
        <v>394464.62366866803</v>
      </c>
      <c r="J52" s="99">
        <f t="shared" si="14"/>
        <v>1567277.0133630764</v>
      </c>
      <c r="K52" s="99">
        <f>3220826+311115</f>
        <v>3531941</v>
      </c>
    </row>
    <row r="53" spans="1:11" x14ac:dyDescent="0.2">
      <c r="A53" t="s">
        <v>176</v>
      </c>
      <c r="B53" s="99">
        <f t="shared" si="15"/>
        <v>3531941</v>
      </c>
      <c r="C53" s="99">
        <v>1722940</v>
      </c>
      <c r="D53" s="101">
        <f>(3291.981+0+3254.544+0.2)*2.204622</f>
        <v>14433.05396295</v>
      </c>
      <c r="E53" s="99">
        <f t="shared" si="12"/>
        <v>5269314.0539629497</v>
      </c>
      <c r="G53" s="99">
        <f t="shared" si="13"/>
        <v>1387659.7552331097</v>
      </c>
      <c r="H53" s="99">
        <v>110421</v>
      </c>
      <c r="I53" s="99">
        <f>(202239.121+77.38+9067.088+108.131)*2.204622</f>
        <v>466259.29872984003</v>
      </c>
      <c r="J53" s="99">
        <f t="shared" si="14"/>
        <v>1853919.0539629497</v>
      </c>
      <c r="K53" s="99">
        <f>3078691+336704</f>
        <v>3415395</v>
      </c>
    </row>
    <row r="54" spans="1:11" x14ac:dyDescent="0.2">
      <c r="A54" t="s">
        <v>177</v>
      </c>
      <c r="B54" s="99">
        <f t="shared" si="15"/>
        <v>3415395</v>
      </c>
      <c r="C54" s="99">
        <v>1500030</v>
      </c>
      <c r="D54" s="101">
        <f>(3175.423+0+4126.911+5.213)*2.204622</f>
        <v>16110.378882233999</v>
      </c>
      <c r="E54" s="99">
        <f t="shared" si="12"/>
        <v>4931535.378882234</v>
      </c>
      <c r="G54" s="99">
        <f t="shared" si="13"/>
        <v>1254879.7533658119</v>
      </c>
      <c r="H54" s="99">
        <v>112647</v>
      </c>
      <c r="I54" s="99">
        <f>(118832.443+3521.624+13687.893+574.941)*2.204622</f>
        <v>301188.62551642198</v>
      </c>
      <c r="J54" s="99">
        <f t="shared" si="14"/>
        <v>1556068.378882234</v>
      </c>
      <c r="K54" s="99">
        <f>3075062+300405</f>
        <v>3375467</v>
      </c>
    </row>
    <row r="55" spans="1:11" x14ac:dyDescent="0.2">
      <c r="A55" t="s">
        <v>178</v>
      </c>
      <c r="B55" s="99">
        <f t="shared" si="15"/>
        <v>3375467</v>
      </c>
      <c r="C55" s="99">
        <v>1623774</v>
      </c>
      <c r="D55" s="101">
        <f>(1495.313+0+4447.852+1.508)*2.204622</f>
        <v>13105.756878606</v>
      </c>
      <c r="E55" s="99">
        <f t="shared" si="12"/>
        <v>5012346.756878606</v>
      </c>
      <c r="G55" s="99">
        <f t="shared" si="13"/>
        <v>1272407.5298265081</v>
      </c>
      <c r="H55" s="99">
        <v>176313</v>
      </c>
      <c r="I55" s="99">
        <f>(139214.028+79.175+10121.912+337.644)*2.204622</f>
        <v>330148.22705209797</v>
      </c>
      <c r="J55" s="99">
        <f t="shared" si="14"/>
        <v>1602555.756878606</v>
      </c>
      <c r="K55" s="99">
        <f>3109849+299942</f>
        <v>3409791</v>
      </c>
    </row>
    <row r="56" spans="1:11" x14ac:dyDescent="0.2">
      <c r="A56" t="s">
        <v>179</v>
      </c>
      <c r="B56" s="99">
        <f t="shared" si="15"/>
        <v>3409791</v>
      </c>
      <c r="C56" s="99">
        <v>1504598</v>
      </c>
      <c r="D56" s="101">
        <f>(403.164+0+5901.121+1.472)*2.204622</f>
        <v>13901.810608853999</v>
      </c>
      <c r="E56" s="99">
        <f t="shared" si="12"/>
        <v>4928290.8106088536</v>
      </c>
      <c r="G56" s="99">
        <f t="shared" si="13"/>
        <v>1397646.6538427935</v>
      </c>
      <c r="H56" s="99">
        <v>216769</v>
      </c>
      <c r="I56" s="99">
        <f>(75823.413+1139.657+8389.42+184.24)*2.204622</f>
        <v>188576.15676606004</v>
      </c>
      <c r="J56" s="99">
        <f t="shared" si="14"/>
        <v>1586222.8106088536</v>
      </c>
      <c r="K56" s="99">
        <f>3010398+331670</f>
        <v>3342068</v>
      </c>
    </row>
    <row r="57" spans="1:11" x14ac:dyDescent="0.2">
      <c r="A57" t="s">
        <v>180</v>
      </c>
      <c r="B57" s="99">
        <f t="shared" si="15"/>
        <v>3342068</v>
      </c>
      <c r="C57" s="99">
        <v>1491195</v>
      </c>
      <c r="D57" s="101">
        <f>(814.147+0+4736.942+1.724)*2.204622</f>
        <v>12241.853701686001</v>
      </c>
      <c r="E57" s="99">
        <f t="shared" si="12"/>
        <v>4845504.8537016856</v>
      </c>
      <c r="G57" s="99">
        <f t="shared" si="13"/>
        <v>1576493.7764327575</v>
      </c>
      <c r="H57" s="99">
        <v>235312</v>
      </c>
      <c r="I57" s="99">
        <f>(29955.857+1591.942+9839.322+201.903)*2.204622</f>
        <v>91688.077268927998</v>
      </c>
      <c r="J57" s="99">
        <f t="shared" si="14"/>
        <v>1668181.8537016856</v>
      </c>
      <c r="K57" s="99">
        <f>2917354+259969</f>
        <v>3177323</v>
      </c>
    </row>
    <row r="58" spans="1:11" x14ac:dyDescent="0.2">
      <c r="A58" t="s">
        <v>191</v>
      </c>
      <c r="B58" s="99">
        <f t="shared" si="15"/>
        <v>3177323</v>
      </c>
      <c r="C58" s="99">
        <v>1437997</v>
      </c>
      <c r="D58" s="101">
        <f>(374.637+0+5123.419+62.229)*2.204622</f>
        <v>12258.32663727</v>
      </c>
      <c r="E58" s="99">
        <f t="shared" si="12"/>
        <v>4627578.3266372699</v>
      </c>
      <c r="F58" s="21"/>
      <c r="G58" s="99">
        <f t="shared" si="13"/>
        <v>1344828.4075209498</v>
      </c>
      <c r="H58" s="99">
        <v>293702</v>
      </c>
      <c r="I58" s="99">
        <f>(48941.832+1445.761+8302.158+134.809)*2.204622</f>
        <v>129685.91911632002</v>
      </c>
      <c r="J58" s="99">
        <f t="shared" si="14"/>
        <v>1474514.3266372699</v>
      </c>
      <c r="K58" s="99">
        <f>2868184+284880</f>
        <v>3153064</v>
      </c>
    </row>
    <row r="59" spans="1:11" x14ac:dyDescent="0.2">
      <c r="A59" t="s">
        <v>192</v>
      </c>
      <c r="B59" s="99">
        <f t="shared" si="15"/>
        <v>3153064</v>
      </c>
      <c r="C59" s="99">
        <v>1504674</v>
      </c>
      <c r="D59" s="101">
        <f>(257.985+0+4658.192+0)*2.204622</f>
        <v>10838.311970094001</v>
      </c>
      <c r="E59" s="99">
        <f t="shared" si="12"/>
        <v>4668576.3119700942</v>
      </c>
      <c r="F59" s="21"/>
      <c r="G59" s="99">
        <f t="shared" si="13"/>
        <v>1419762.9641650321</v>
      </c>
      <c r="H59" s="99">
        <v>342924</v>
      </c>
      <c r="I59" s="99">
        <f>(45456.366+955.049+7901.32+101.286)*2.204622</f>
        <v>119962.347805062</v>
      </c>
      <c r="J59" s="99">
        <f t="shared" si="14"/>
        <v>1539725.3119700942</v>
      </c>
      <c r="K59" s="99">
        <f>2824308+304543</f>
        <v>3128851</v>
      </c>
    </row>
    <row r="60" spans="1:11" x14ac:dyDescent="0.2">
      <c r="A60" t="s">
        <v>193</v>
      </c>
      <c r="B60" s="99">
        <f t="shared" si="15"/>
        <v>3128851</v>
      </c>
      <c r="C60" s="99">
        <v>1458750</v>
      </c>
      <c r="D60" s="101">
        <f>(121.648+0+5978.907+0.2)*2.204622</f>
        <v>13449.858689610001</v>
      </c>
      <c r="E60" s="99">
        <f t="shared" si="12"/>
        <v>4601050.8586896099</v>
      </c>
      <c r="F60" s="21"/>
      <c r="G60" s="99">
        <f t="shared" si="13"/>
        <v>1618370.370322688</v>
      </c>
      <c r="H60" s="99">
        <v>401221.08000000007</v>
      </c>
      <c r="I60" s="99">
        <f>(44303.026+126.176+7418.814+141.635)*2.204622</f>
        <v>114617.52836692199</v>
      </c>
      <c r="J60" s="99">
        <f t="shared" si="14"/>
        <v>1732987.89868961</v>
      </c>
      <c r="K60" s="99">
        <v>2868062.96</v>
      </c>
    </row>
    <row r="61" spans="1:11" x14ac:dyDescent="0.2">
      <c r="A61" t="s">
        <v>172</v>
      </c>
      <c r="B61" s="99">
        <f t="shared" si="15"/>
        <v>2868062.96</v>
      </c>
      <c r="C61" s="99">
        <v>1350373.78</v>
      </c>
      <c r="D61" s="101">
        <f>(155.713+0+4024.771+1.119)*2.204622</f>
        <v>9218.853969066</v>
      </c>
      <c r="E61" s="99">
        <f t="shared" si="12"/>
        <v>4227655.5939690666</v>
      </c>
      <c r="F61" s="21"/>
      <c r="G61" s="99">
        <f t="shared" si="13"/>
        <v>1578787.7510764566</v>
      </c>
      <c r="H61" s="99">
        <v>434121.20856000017</v>
      </c>
      <c r="I61" s="99">
        <f>(94248.522+309.172+6711.905+117.656)*2.204622</f>
        <v>223520.57289261001</v>
      </c>
      <c r="J61" s="99">
        <f t="shared" si="14"/>
        <v>1802308.3239690666</v>
      </c>
      <c r="K61" s="99">
        <v>2425347.27</v>
      </c>
    </row>
    <row r="62" spans="1:11" x14ac:dyDescent="0.2">
      <c r="A62" s="21" t="s">
        <v>166</v>
      </c>
      <c r="B62" s="99"/>
      <c r="C62" s="99">
        <f>SUM(C50:C61)</f>
        <v>18887582.520000003</v>
      </c>
      <c r="D62" s="101">
        <f>SUM(D50:D61)</f>
        <v>159001.29152724601</v>
      </c>
      <c r="E62" s="99">
        <f>B50+C62+D62</f>
        <v>22452363.811527248</v>
      </c>
      <c r="F62" s="99"/>
      <c r="G62" s="99">
        <f>SUM(G50:G61)</f>
        <v>16794082.144132487</v>
      </c>
      <c r="H62" s="99">
        <f>SUM(H50:H61)</f>
        <v>2550031.2885600002</v>
      </c>
      <c r="I62" s="99">
        <f>SUM(I50:I61)</f>
        <v>3232934.3973947582</v>
      </c>
      <c r="J62" s="99">
        <f>SUM(J50:J61)</f>
        <v>20027016.541527245</v>
      </c>
      <c r="K62" s="99"/>
    </row>
    <row r="63" spans="1:11" x14ac:dyDescent="0.2">
      <c r="A63" s="28" t="s">
        <v>43</v>
      </c>
      <c r="B63" s="21"/>
      <c r="C63" s="90"/>
      <c r="D63" s="90"/>
      <c r="E63" s="90"/>
      <c r="F63" s="21"/>
      <c r="G63" s="100"/>
      <c r="H63" s="100"/>
      <c r="I63" s="100"/>
      <c r="J63" s="100"/>
      <c r="K63" s="100"/>
    </row>
    <row r="64" spans="1:11" x14ac:dyDescent="0.2">
      <c r="A64" t="s">
        <v>173</v>
      </c>
      <c r="B64" s="99">
        <v>1854818</v>
      </c>
      <c r="C64" s="99">
        <v>1962937</v>
      </c>
      <c r="D64" s="101">
        <f>(11263.021+0+8383.554+0)*2.204622</f>
        <v>43313.271469650004</v>
      </c>
      <c r="E64" s="99">
        <f>B64+C64+D64</f>
        <v>3861068.2714696499</v>
      </c>
      <c r="F64" s="21"/>
      <c r="G64" s="99">
        <f>J64-I64</f>
        <v>1741066.7282298219</v>
      </c>
      <c r="H64" s="100">
        <v>407750</v>
      </c>
      <c r="I64" s="99">
        <f>(68457.137+168.758+12516.928+337.151)*2.204622</f>
        <v>179632.54323982802</v>
      </c>
      <c r="J64" s="99">
        <f>(E64-K64)</f>
        <v>1920699.2714696499</v>
      </c>
      <c r="K64" s="102">
        <f>1569861+370508</f>
        <v>1940369</v>
      </c>
    </row>
    <row r="65" spans="1:11" x14ac:dyDescent="0.2">
      <c r="A65" t="s">
        <v>174</v>
      </c>
      <c r="B65" s="99">
        <f>K64</f>
        <v>1940369</v>
      </c>
      <c r="C65" s="99">
        <v>1901853</v>
      </c>
      <c r="D65" s="101">
        <f>(404.275+20.412+7673.322+0)*2.204622</f>
        <v>17853.048797598</v>
      </c>
      <c r="E65" s="99">
        <f t="shared" ref="E65:E75" si="16">B65+C65+D65</f>
        <v>3860075.0487975981</v>
      </c>
      <c r="F65" s="21"/>
      <c r="G65" s="99">
        <f t="shared" ref="G65:G75" si="17">J65-I65</f>
        <v>1661212.8644706982</v>
      </c>
      <c r="H65" s="100">
        <v>463630</v>
      </c>
      <c r="I65" s="99">
        <f>(96450.176+52.248+8912.495+274.031)*2.204622</f>
        <v>233004.18432690002</v>
      </c>
      <c r="J65" s="99">
        <f t="shared" ref="J65:J75" si="18">(E65-K65)</f>
        <v>1894217.0487975981</v>
      </c>
      <c r="K65" s="102">
        <f>1545181+420677</f>
        <v>1965858</v>
      </c>
    </row>
    <row r="66" spans="1:11" x14ac:dyDescent="0.2">
      <c r="A66" t="s">
        <v>175</v>
      </c>
      <c r="B66" s="99">
        <f t="shared" ref="B66:B75" si="19">K65</f>
        <v>1965858</v>
      </c>
      <c r="C66" s="99">
        <v>1929027</v>
      </c>
      <c r="D66" s="101">
        <f>(426.012+0+9716.081+0)*2.204622</f>
        <v>22359.481353846004</v>
      </c>
      <c r="E66" s="99">
        <f t="shared" si="16"/>
        <v>3917244.4813538459</v>
      </c>
      <c r="F66" s="21"/>
      <c r="G66" s="99">
        <f t="shared" si="17"/>
        <v>1623989.2890065599</v>
      </c>
      <c r="H66" s="100">
        <v>435620</v>
      </c>
      <c r="I66" s="99">
        <f>(127771.858+163.223+17227.472+325.06)*2.204622</f>
        <v>320745.19234728598</v>
      </c>
      <c r="J66" s="99">
        <f t="shared" si="18"/>
        <v>1944734.4813538459</v>
      </c>
      <c r="K66" s="102">
        <f>1576849+395661</f>
        <v>1972510</v>
      </c>
    </row>
    <row r="67" spans="1:11" x14ac:dyDescent="0.2">
      <c r="A67" t="s">
        <v>176</v>
      </c>
      <c r="B67" s="99">
        <f t="shared" si="19"/>
        <v>1972510</v>
      </c>
      <c r="C67" s="99">
        <v>1864887</v>
      </c>
      <c r="D67" s="101">
        <f>(661.65+0+6999.396+0)*2.204622</f>
        <v>16889.710554612</v>
      </c>
      <c r="E67" s="99">
        <f t="shared" si="16"/>
        <v>3854286.7105546119</v>
      </c>
      <c r="F67" s="21"/>
      <c r="G67" s="99">
        <f t="shared" si="17"/>
        <v>1576553.3936106698</v>
      </c>
      <c r="H67" s="100">
        <v>392270</v>
      </c>
      <c r="I67" s="99">
        <f>(64298.556+202.493+10705.986+514.026)*2.204622</f>
        <v>166936.31694394202</v>
      </c>
      <c r="J67" s="99">
        <f t="shared" si="18"/>
        <v>1743489.7105546119</v>
      </c>
      <c r="K67" s="102">
        <f>1724459+386338</f>
        <v>2110797</v>
      </c>
    </row>
    <row r="68" spans="1:11" x14ac:dyDescent="0.2">
      <c r="A68" t="s">
        <v>177</v>
      </c>
      <c r="B68" s="99">
        <f t="shared" si="19"/>
        <v>2110797</v>
      </c>
      <c r="C68" s="99">
        <v>1795866</v>
      </c>
      <c r="D68" s="101">
        <f>(6983.861+0+5636.542+0)*2.204622</f>
        <v>27823.218102666</v>
      </c>
      <c r="E68" s="99">
        <f t="shared" si="16"/>
        <v>3934486.2181026661</v>
      </c>
      <c r="F68" s="21"/>
      <c r="G68" s="99">
        <f t="shared" si="17"/>
        <v>1539623.2803150842</v>
      </c>
      <c r="H68" s="100">
        <v>394760</v>
      </c>
      <c r="I68" s="99">
        <f>(39741.744+144.371+11864.2+270.366)*2.204622</f>
        <v>114685.93778758201</v>
      </c>
      <c r="J68" s="99">
        <f t="shared" si="18"/>
        <v>1654309.2181026661</v>
      </c>
      <c r="K68" s="102">
        <f>1880210+399967</f>
        <v>2280177</v>
      </c>
    </row>
    <row r="69" spans="1:11" x14ac:dyDescent="0.2">
      <c r="A69" t="s">
        <v>178</v>
      </c>
      <c r="B69" s="99">
        <f t="shared" si="19"/>
        <v>2280177</v>
      </c>
      <c r="C69" s="99">
        <v>1943537</v>
      </c>
      <c r="D69" s="101">
        <f>(591.834+0+7456.81+0)*2.204622</f>
        <v>17744.217632568001</v>
      </c>
      <c r="E69" s="99">
        <f t="shared" si="16"/>
        <v>4241458.2176325684</v>
      </c>
      <c r="F69" s="21"/>
      <c r="G69" s="99">
        <f t="shared" si="17"/>
        <v>1683407.9475453284</v>
      </c>
      <c r="H69" s="100">
        <v>464480</v>
      </c>
      <c r="I69" s="99">
        <f>(90421.404+568.24+14369.382+384.394)*2.204622</f>
        <v>233124.27008724</v>
      </c>
      <c r="J69" s="99">
        <f t="shared" si="18"/>
        <v>1916532.2176325684</v>
      </c>
      <c r="K69" s="102">
        <f>1956599+368327</f>
        <v>2324926</v>
      </c>
    </row>
    <row r="70" spans="1:11" x14ac:dyDescent="0.2">
      <c r="A70" t="s">
        <v>179</v>
      </c>
      <c r="B70" s="99">
        <f t="shared" si="19"/>
        <v>2324926</v>
      </c>
      <c r="C70" s="99">
        <v>1840263</v>
      </c>
      <c r="D70" s="101">
        <f>(3550.44+0+9479.238+0.48)*2.204622</f>
        <v>28726.572990275999</v>
      </c>
      <c r="E70" s="99">
        <f t="shared" si="16"/>
        <v>4193915.5729902759</v>
      </c>
      <c r="F70" s="21"/>
      <c r="G70" s="99">
        <f t="shared" si="17"/>
        <v>1648122.4901599279</v>
      </c>
      <c r="H70" s="100">
        <v>414750</v>
      </c>
      <c r="I70" s="99">
        <f>(43735.649+152.257+12684.186+478.542)*2.204622</f>
        <v>125775.08283034799</v>
      </c>
      <c r="J70" s="99">
        <f t="shared" si="18"/>
        <v>1773897.5729902759</v>
      </c>
      <c r="K70" s="102">
        <f>2048554+371464</f>
        <v>2420018</v>
      </c>
    </row>
    <row r="71" spans="1:11" x14ac:dyDescent="0.2">
      <c r="A71" t="s">
        <v>190</v>
      </c>
      <c r="B71" s="99">
        <f t="shared" si="19"/>
        <v>2420018</v>
      </c>
      <c r="C71" s="99">
        <v>1876184</v>
      </c>
      <c r="D71" s="101">
        <f>(629.094+1.199+14398.052+0)*2.204622</f>
        <v>33131.820010590003</v>
      </c>
      <c r="E71" s="99">
        <f t="shared" si="16"/>
        <v>4329333.8200105904</v>
      </c>
      <c r="F71" s="21"/>
      <c r="G71" s="99">
        <f t="shared" si="17"/>
        <v>1759376.8829391883</v>
      </c>
      <c r="H71" s="100">
        <v>543780</v>
      </c>
      <c r="I71" s="99">
        <f>(35456.096+189.388+11250.035+195.972)*2.204622</f>
        <v>103818.937071402</v>
      </c>
      <c r="J71" s="99">
        <f t="shared" si="18"/>
        <v>1863195.8200105904</v>
      </c>
      <c r="K71" s="102">
        <f>2063240+402898</f>
        <v>2466138</v>
      </c>
    </row>
    <row r="72" spans="1:11" x14ac:dyDescent="0.2">
      <c r="A72" t="s">
        <v>191</v>
      </c>
      <c r="B72" s="99">
        <f t="shared" si="19"/>
        <v>2466138</v>
      </c>
      <c r="C72" s="99">
        <v>1787234</v>
      </c>
      <c r="D72" s="101">
        <f>(596.642+0.579+6779.714+21.75)*2.204622</f>
        <v>16311.303722069999</v>
      </c>
      <c r="E72" s="99">
        <f t="shared" si="16"/>
        <v>4269683.3037220696</v>
      </c>
      <c r="F72" s="21"/>
      <c r="G72" s="99">
        <f t="shared" si="17"/>
        <v>1687023.9349690736</v>
      </c>
      <c r="H72" s="100">
        <v>519690</v>
      </c>
      <c r="I72" s="99">
        <f>(58786.371+182.565+12592.14+344.842)*2.204622</f>
        <v>158525.36875299603</v>
      </c>
      <c r="J72" s="99">
        <f t="shared" si="18"/>
        <v>1845549.3037220696</v>
      </c>
      <c r="K72" s="102">
        <f>2042738+381396</f>
        <v>2424134</v>
      </c>
    </row>
    <row r="73" spans="1:11" x14ac:dyDescent="0.2">
      <c r="A73" t="s">
        <v>192</v>
      </c>
      <c r="B73" s="99">
        <f t="shared" si="19"/>
        <v>2424134</v>
      </c>
      <c r="C73" s="99">
        <v>1789356</v>
      </c>
      <c r="D73" s="101">
        <f>(492.863+0+7173.58+0)*2.204622</f>
        <v>16901.608899546001</v>
      </c>
      <c r="E73" s="99">
        <f t="shared" si="16"/>
        <v>4230391.6088995459</v>
      </c>
      <c r="F73" s="21"/>
      <c r="G73" s="99">
        <f t="shared" si="17"/>
        <v>1737098.6812410299</v>
      </c>
      <c r="H73" s="100">
        <v>535600</v>
      </c>
      <c r="I73" s="99">
        <f>(106944.346+201.312+19122.929+290.491)*2.204622</f>
        <v>279014.92765851604</v>
      </c>
      <c r="J73" s="99">
        <f t="shared" si="18"/>
        <v>2016113.6088995459</v>
      </c>
      <c r="K73" s="102">
        <f>1865797+348481</f>
        <v>2214278</v>
      </c>
    </row>
    <row r="74" spans="1:11" x14ac:dyDescent="0.2">
      <c r="A74" t="s">
        <v>193</v>
      </c>
      <c r="B74" s="99">
        <f t="shared" si="19"/>
        <v>2214278</v>
      </c>
      <c r="C74" s="99">
        <v>1642478</v>
      </c>
      <c r="D74" s="101">
        <f>(441.51+0+10970.187+18.574)*2.204622</f>
        <v>25199.426912562001</v>
      </c>
      <c r="E74" s="99">
        <f t="shared" si="16"/>
        <v>3881955.426912562</v>
      </c>
      <c r="F74" s="21"/>
      <c r="G74" s="99">
        <f t="shared" si="17"/>
        <v>1796842.2494858881</v>
      </c>
      <c r="H74" s="100">
        <v>561040</v>
      </c>
      <c r="I74" s="99">
        <f>(31239.263+90.549+13409.825+333.93)*2.204622</f>
        <v>99370.17742667401</v>
      </c>
      <c r="J74" s="99">
        <f t="shared" si="18"/>
        <v>1896212.426912562</v>
      </c>
      <c r="K74" s="102">
        <f>1666531+319212</f>
        <v>1985743</v>
      </c>
    </row>
    <row r="75" spans="1:11" x14ac:dyDescent="0.2">
      <c r="A75" t="s">
        <v>172</v>
      </c>
      <c r="B75" s="99">
        <f t="shared" si="19"/>
        <v>1985743</v>
      </c>
      <c r="C75" s="99">
        <v>1616609</v>
      </c>
      <c r="D75" s="101">
        <f>(341.494+0+8866.195+0)*2.204622</f>
        <v>20299.473738558001</v>
      </c>
      <c r="E75" s="99">
        <f t="shared" si="16"/>
        <v>3622651.4737385581</v>
      </c>
      <c r="F75" s="21"/>
      <c r="G75" s="99">
        <f t="shared" si="17"/>
        <v>1707930.1805705342</v>
      </c>
      <c r="H75" s="100">
        <v>536840</v>
      </c>
      <c r="I75" s="99">
        <f>(92870.205+183.707+9768.901+554.679)*2.204622</f>
        <v>227908.29316802401</v>
      </c>
      <c r="J75" s="99">
        <f t="shared" si="18"/>
        <v>1935838.4737385581</v>
      </c>
      <c r="K75" s="102">
        <f>1417400+269413</f>
        <v>1686813</v>
      </c>
    </row>
    <row r="76" spans="1:11" x14ac:dyDescent="0.2">
      <c r="A76" s="21" t="s">
        <v>170</v>
      </c>
      <c r="B76" s="99"/>
      <c r="C76" s="99">
        <f>SUM(C64:C75)</f>
        <v>21950231</v>
      </c>
      <c r="D76" s="101">
        <f>SUM(D64:D75)</f>
        <v>286553.15418454207</v>
      </c>
      <c r="E76" s="99">
        <f>B64+C76+D76</f>
        <v>24091602.154184543</v>
      </c>
      <c r="F76" s="99"/>
      <c r="G76" s="99">
        <f>SUM(G64:G75)</f>
        <v>20162247.922543805</v>
      </c>
      <c r="H76" s="99">
        <f>SUM(H64:H75)</f>
        <v>5670210</v>
      </c>
      <c r="I76" s="99">
        <f>SUM(I64:I75)</f>
        <v>2242541.231640738</v>
      </c>
      <c r="J76" s="99">
        <f>SUM(J64:J75)</f>
        <v>22404789.154184543</v>
      </c>
      <c r="K76" s="99"/>
    </row>
    <row r="77" spans="1:11" x14ac:dyDescent="0.2">
      <c r="A77" s="28" t="s">
        <v>44</v>
      </c>
      <c r="B77" s="21"/>
      <c r="C77" s="90"/>
      <c r="D77" s="90"/>
      <c r="E77" s="90"/>
      <c r="F77" s="21"/>
      <c r="G77" s="100"/>
      <c r="H77" s="100"/>
      <c r="I77" s="100"/>
      <c r="J77" s="100"/>
      <c r="K77" s="100"/>
    </row>
    <row r="78" spans="1:11" x14ac:dyDescent="0.2">
      <c r="A78" t="s">
        <v>173</v>
      </c>
      <c r="B78" s="99">
        <v>1686813</v>
      </c>
      <c r="C78" s="103">
        <v>2028518</v>
      </c>
      <c r="D78" s="104">
        <v>14423.615976167999</v>
      </c>
      <c r="E78" s="99">
        <f>B78+C78+D78</f>
        <v>3729754.6159761678</v>
      </c>
      <c r="F78" s="21"/>
      <c r="G78" s="99">
        <f>J78-I78</f>
        <v>1693461.5263346718</v>
      </c>
      <c r="H78" s="102">
        <v>525960</v>
      </c>
      <c r="I78" s="103">
        <v>240982.08964149602</v>
      </c>
      <c r="J78" s="99">
        <f>(E78-K78)</f>
        <v>1934443.6159761678</v>
      </c>
      <c r="K78" s="102">
        <v>1795311</v>
      </c>
    </row>
    <row r="79" spans="1:11" x14ac:dyDescent="0.2">
      <c r="A79" t="s">
        <v>174</v>
      </c>
      <c r="B79" s="99">
        <v>1795311</v>
      </c>
      <c r="C79" s="103">
        <v>1961256</v>
      </c>
      <c r="D79" s="104">
        <v>38421.224070138</v>
      </c>
      <c r="E79" s="99">
        <f t="shared" ref="E79:E89" si="20">B79+C79+D79</f>
        <v>3794988.2240701378</v>
      </c>
      <c r="F79" s="21"/>
      <c r="G79" s="99">
        <f t="shared" ref="G79:G89" si="21">J79-I79</f>
        <v>1777576.0385635339</v>
      </c>
      <c r="H79" s="102">
        <v>595830</v>
      </c>
      <c r="I79" s="103">
        <v>236701.185506604</v>
      </c>
      <c r="J79" s="99">
        <f t="shared" ref="J79:J89" si="22">(E79-K79)</f>
        <v>2014277.2240701378</v>
      </c>
      <c r="K79" s="102">
        <v>1780711</v>
      </c>
    </row>
    <row r="80" spans="1:11" x14ac:dyDescent="0.2">
      <c r="A80" t="s">
        <v>175</v>
      </c>
      <c r="B80" s="99">
        <v>1780711</v>
      </c>
      <c r="C80" s="103">
        <v>1950176</v>
      </c>
      <c r="D80" s="104">
        <v>47415.651928847998</v>
      </c>
      <c r="E80" s="99">
        <f t="shared" si="20"/>
        <v>3778302.6519288481</v>
      </c>
      <c r="F80" s="21"/>
      <c r="G80" s="99">
        <f t="shared" si="21"/>
        <v>1670497.9451501761</v>
      </c>
      <c r="H80" s="102">
        <v>610470</v>
      </c>
      <c r="I80" s="103">
        <v>235534.706778672</v>
      </c>
      <c r="J80" s="99">
        <f t="shared" si="22"/>
        <v>1906032.6519288481</v>
      </c>
      <c r="K80" s="102">
        <v>1872270</v>
      </c>
    </row>
    <row r="81" spans="1:11" x14ac:dyDescent="0.2">
      <c r="A81" t="s">
        <v>176</v>
      </c>
      <c r="B81" s="99">
        <v>1872270</v>
      </c>
      <c r="C81" s="103">
        <v>1982893</v>
      </c>
      <c r="D81" s="104">
        <v>22669.250586443999</v>
      </c>
      <c r="E81" s="99">
        <f t="shared" si="20"/>
        <v>3877832.250586444</v>
      </c>
      <c r="F81" s="21"/>
      <c r="G81" s="99">
        <f t="shared" si="21"/>
        <v>1505858.38353396</v>
      </c>
      <c r="H81" s="102">
        <v>390110</v>
      </c>
      <c r="I81" s="103">
        <v>259354.86705248404</v>
      </c>
      <c r="J81" s="99">
        <f t="shared" si="22"/>
        <v>1765213.250586444</v>
      </c>
      <c r="K81" s="102">
        <v>2112619</v>
      </c>
    </row>
    <row r="82" spans="1:11" x14ac:dyDescent="0.2">
      <c r="A82" t="s">
        <v>177</v>
      </c>
      <c r="B82" s="99">
        <v>2112619</v>
      </c>
      <c r="C82" s="103">
        <v>1757030</v>
      </c>
      <c r="D82" s="104">
        <v>20833.250203332002</v>
      </c>
      <c r="E82" s="99">
        <f t="shared" si="20"/>
        <v>3890482.2502033319</v>
      </c>
      <c r="F82" s="21"/>
      <c r="G82" s="99">
        <f t="shared" si="21"/>
        <v>1445842.782650166</v>
      </c>
      <c r="H82" s="102">
        <v>369180</v>
      </c>
      <c r="I82" s="103">
        <v>238745.46755316606</v>
      </c>
      <c r="J82" s="99">
        <f t="shared" si="22"/>
        <v>1684588.2502033319</v>
      </c>
      <c r="K82" s="102">
        <v>2205894</v>
      </c>
    </row>
    <row r="83" spans="1:11" x14ac:dyDescent="0.2">
      <c r="A83" t="s">
        <v>178</v>
      </c>
      <c r="B83" s="99">
        <v>2205894</v>
      </c>
      <c r="C83" s="103">
        <v>1865466</v>
      </c>
      <c r="D83" s="104">
        <v>27067.658869314</v>
      </c>
      <c r="E83" s="99">
        <f t="shared" si="20"/>
        <v>4098427.658869314</v>
      </c>
      <c r="F83" s="21"/>
      <c r="G83" s="99">
        <f t="shared" si="21"/>
        <v>1450540.0142469578</v>
      </c>
      <c r="H83" s="102">
        <v>369460</v>
      </c>
      <c r="I83" s="103">
        <v>294532.64462235605</v>
      </c>
      <c r="J83" s="99">
        <f t="shared" si="22"/>
        <v>1745072.658869314</v>
      </c>
      <c r="K83" s="102">
        <v>2353355</v>
      </c>
    </row>
    <row r="84" spans="1:11" x14ac:dyDescent="0.2">
      <c r="A84" t="s">
        <v>179</v>
      </c>
      <c r="B84" s="99">
        <v>2353355</v>
      </c>
      <c r="C84" s="103">
        <v>1737775</v>
      </c>
      <c r="D84" s="104">
        <v>32259.839098662</v>
      </c>
      <c r="E84" s="99">
        <f t="shared" si="20"/>
        <v>4123389.8390986621</v>
      </c>
      <c r="F84" s="21"/>
      <c r="G84" s="99">
        <f t="shared" si="21"/>
        <v>1631229.8195681141</v>
      </c>
      <c r="H84" s="102">
        <v>426710</v>
      </c>
      <c r="I84" s="103">
        <v>258337.01953054804</v>
      </c>
      <c r="J84" s="99">
        <f t="shared" si="22"/>
        <v>1889566.8390986621</v>
      </c>
      <c r="K84" s="102">
        <v>2233823</v>
      </c>
    </row>
    <row r="85" spans="1:11" x14ac:dyDescent="0.2">
      <c r="A85" t="s">
        <v>190</v>
      </c>
      <c r="B85" s="99">
        <v>2233823</v>
      </c>
      <c r="C85" s="103">
        <v>1839342</v>
      </c>
      <c r="D85" s="104">
        <v>31512.207686022004</v>
      </c>
      <c r="E85" s="99">
        <f t="shared" si="20"/>
        <v>4104677.2076860219</v>
      </c>
      <c r="F85" s="21"/>
      <c r="G85" s="99">
        <f t="shared" si="21"/>
        <v>1674228.2939163218</v>
      </c>
      <c r="H85" s="102">
        <v>545510</v>
      </c>
      <c r="I85" s="103">
        <v>161193.91376970001</v>
      </c>
      <c r="J85" s="99">
        <f t="shared" si="22"/>
        <v>1835422.2076860219</v>
      </c>
      <c r="K85" s="102">
        <v>2269255</v>
      </c>
    </row>
    <row r="86" spans="1:11" x14ac:dyDescent="0.2">
      <c r="A86" t="s">
        <v>191</v>
      </c>
      <c r="B86" s="99">
        <v>2269255</v>
      </c>
      <c r="C86" s="103">
        <v>1735608</v>
      </c>
      <c r="D86" s="104">
        <v>24289.314858522001</v>
      </c>
      <c r="E86" s="99">
        <f t="shared" si="20"/>
        <v>4029152.3148585218</v>
      </c>
      <c r="F86" s="21"/>
      <c r="G86" s="99">
        <f t="shared" si="21"/>
        <v>1747982.1556972899</v>
      </c>
      <c r="H86" s="102">
        <v>548840</v>
      </c>
      <c r="I86" s="103">
        <v>138228.159161232</v>
      </c>
      <c r="J86" s="99">
        <f t="shared" si="22"/>
        <v>1886210.3148585218</v>
      </c>
      <c r="K86" s="102">
        <v>2142942</v>
      </c>
    </row>
    <row r="87" spans="1:11" x14ac:dyDescent="0.2">
      <c r="A87" t="s">
        <v>192</v>
      </c>
      <c r="B87" s="99">
        <v>2142942</v>
      </c>
      <c r="C87" s="103">
        <v>1801376</v>
      </c>
      <c r="D87" s="104">
        <v>22461.222454523999</v>
      </c>
      <c r="E87" s="99">
        <f t="shared" si="20"/>
        <v>3966779.2224545241</v>
      </c>
      <c r="F87" s="21"/>
      <c r="G87" s="99">
        <f t="shared" si="21"/>
        <v>1766765.817894862</v>
      </c>
      <c r="H87" s="102">
        <v>606150</v>
      </c>
      <c r="I87" s="103">
        <v>199426.40455966201</v>
      </c>
      <c r="J87" s="99">
        <f t="shared" si="22"/>
        <v>1966192.2224545241</v>
      </c>
      <c r="K87" s="102">
        <v>2000587</v>
      </c>
    </row>
    <row r="88" spans="1:11" x14ac:dyDescent="0.2">
      <c r="A88" t="s">
        <v>193</v>
      </c>
      <c r="B88" s="99">
        <v>2000587</v>
      </c>
      <c r="C88" s="103">
        <v>1762207</v>
      </c>
      <c r="D88" s="104">
        <v>19349.645419188</v>
      </c>
      <c r="E88" s="99">
        <f t="shared" si="20"/>
        <v>3782143.6454191878</v>
      </c>
      <c r="F88" s="21"/>
      <c r="G88" s="99">
        <f t="shared" si="21"/>
        <v>1808687.6725403718</v>
      </c>
      <c r="H88" s="102">
        <v>608170</v>
      </c>
      <c r="I88" s="103">
        <v>163114.97287881601</v>
      </c>
      <c r="J88" s="99">
        <f t="shared" si="22"/>
        <v>1971802.6454191878</v>
      </c>
      <c r="K88" s="102">
        <v>1810341</v>
      </c>
    </row>
    <row r="89" spans="1:11" x14ac:dyDescent="0.2">
      <c r="A89" t="s">
        <v>172</v>
      </c>
      <c r="B89" s="99">
        <v>1810341</v>
      </c>
      <c r="C89" s="103">
        <v>1701762</v>
      </c>
      <c r="D89" s="104">
        <v>18001.505838456</v>
      </c>
      <c r="E89" s="99">
        <f t="shared" si="20"/>
        <v>3530104.5058384561</v>
      </c>
      <c r="F89" s="21"/>
      <c r="G89" s="99">
        <f t="shared" si="21"/>
        <v>1688993.1966507181</v>
      </c>
      <c r="H89" s="102">
        <v>603910</v>
      </c>
      <c r="I89" s="103">
        <v>130157.30918773802</v>
      </c>
      <c r="J89" s="99">
        <f t="shared" si="22"/>
        <v>1819150.5058384561</v>
      </c>
      <c r="K89" s="102">
        <v>1710954</v>
      </c>
    </row>
    <row r="90" spans="1:11" x14ac:dyDescent="0.2">
      <c r="A90" s="16" t="s">
        <v>170</v>
      </c>
      <c r="B90" s="16"/>
      <c r="C90" s="105">
        <f>SUM(C78:C89)</f>
        <v>22123409</v>
      </c>
      <c r="D90" s="106">
        <f>SUM(D78:D89)</f>
        <v>318704.38698961801</v>
      </c>
      <c r="E90" s="105">
        <f>B78+C90+D90</f>
        <v>24128926.38698962</v>
      </c>
      <c r="F90" s="61"/>
      <c r="G90" s="105">
        <f>SUM(G78:G89)</f>
        <v>19861663.646747142</v>
      </c>
      <c r="H90" s="105">
        <f>SUM(H78:H89)</f>
        <v>6200300</v>
      </c>
      <c r="I90" s="105">
        <f>SUM(I78:I89)</f>
        <v>2556308.7402424742</v>
      </c>
      <c r="J90" s="105">
        <f>SUM(J78:J89)</f>
        <v>22417972.38698962</v>
      </c>
      <c r="K90" s="105"/>
    </row>
    <row r="91" spans="1:11" ht="13.15" customHeight="1" x14ac:dyDescent="0.2">
      <c r="A91" t="s">
        <v>199</v>
      </c>
      <c r="G91" s="99"/>
      <c r="H91" s="99"/>
      <c r="I91" s="99"/>
    </row>
    <row r="92" spans="1:11" x14ac:dyDescent="0.2">
      <c r="A92" t="s">
        <v>195</v>
      </c>
      <c r="G92" s="99"/>
      <c r="H92" s="99"/>
      <c r="I92" s="99"/>
    </row>
    <row r="93" spans="1:11" ht="10.15" customHeight="1" x14ac:dyDescent="0.2">
      <c r="A93" t="s">
        <v>196</v>
      </c>
      <c r="G93" s="99"/>
      <c r="H93" s="99"/>
      <c r="I93" s="99"/>
      <c r="K93" s="51" t="s">
        <v>47</v>
      </c>
    </row>
    <row r="94" spans="1:11" x14ac:dyDescent="0.2">
      <c r="G94" s="99"/>
      <c r="H94" s="99"/>
      <c r="I94" s="99"/>
    </row>
    <row r="95" spans="1:11" x14ac:dyDescent="0.2">
      <c r="G95" s="99"/>
      <c r="H95" s="99"/>
      <c r="I95" s="99"/>
    </row>
    <row r="96" spans="1:11" x14ac:dyDescent="0.2">
      <c r="G96" s="99"/>
      <c r="H96" s="99"/>
      <c r="I96" s="99"/>
    </row>
    <row r="97" spans="7:9" x14ac:dyDescent="0.2">
      <c r="G97" s="99"/>
      <c r="H97" s="99"/>
      <c r="I97" s="99"/>
    </row>
    <row r="98" spans="7:9" x14ac:dyDescent="0.2">
      <c r="G98" s="99"/>
      <c r="H98" s="99"/>
      <c r="I98" s="99"/>
    </row>
    <row r="99" spans="7:9" x14ac:dyDescent="0.2">
      <c r="G99" s="99"/>
      <c r="H99" s="99"/>
      <c r="I99" s="99"/>
    </row>
    <row r="100" spans="7:9" x14ac:dyDescent="0.2">
      <c r="G100" s="99"/>
      <c r="H100" s="99"/>
      <c r="I100" s="99"/>
    </row>
    <row r="101" spans="7:9" x14ac:dyDescent="0.2">
      <c r="G101" s="99"/>
      <c r="H101" s="99"/>
      <c r="I101" s="99"/>
    </row>
    <row r="102" spans="7:9" x14ac:dyDescent="0.2">
      <c r="G102" s="99"/>
      <c r="H102" s="99"/>
      <c r="I102" s="99"/>
    </row>
    <row r="103" spans="7:9" x14ac:dyDescent="0.2">
      <c r="G103" s="99"/>
      <c r="H103" s="99"/>
      <c r="I103" s="99"/>
    </row>
    <row r="104" spans="7:9" x14ac:dyDescent="0.2">
      <c r="G104" s="99"/>
      <c r="H104" s="99"/>
      <c r="I104" s="99"/>
    </row>
  </sheetData>
  <pageMargins left="0.7" right="0.7" top="0.75" bottom="0.75" header="0.3" footer="0.3"/>
  <pageSetup scale="70" firstPageNumber="3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'tab 9'!Print_Area</vt:lpstr>
      <vt:lpstr>'tab01'!Print_Area</vt:lpstr>
      <vt:lpstr>'tab02'!Print_Area</vt:lpstr>
      <vt:lpstr>'tab3'!Print_Area</vt:lpstr>
      <vt:lpstr>'tab4'!Print_Area</vt:lpstr>
      <vt:lpstr>'tab5'!Print_Area</vt:lpstr>
      <vt:lpstr>'tab6'!Print_Area</vt:lpstr>
      <vt:lpstr>'tab7'!Print_Area</vt:lpstr>
      <vt:lpstr>'tab8'!Print_Area</vt:lpstr>
      <vt:lpstr>'tab6'!Print_Titles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Soybean U.S. stocks: On-farm, off-farm, and total  by quarter, U.S. soybean  acreage planted, harvested, yield, Soybean and soybean meal production, value, price and supply and disappearance, prices 1999/00-2017/18</dc:title>
  <dc:subject>Agricultural economics</dc:subject>
  <dc:creator>Mark Ash, Mariana Matias</dc:creator>
  <cp:keywords>soybeans, soybean meal, soybean oil, acreage, yield, production, imports, exports, crush, disappearance, stocks, price</cp:keywords>
  <cp:lastModifiedBy>Mallory, Mindy L</cp:lastModifiedBy>
  <dcterms:created xsi:type="dcterms:W3CDTF">2018-03-28T18:26:59Z</dcterms:created>
  <dcterms:modified xsi:type="dcterms:W3CDTF">2018-10-02T17:10:17Z</dcterms:modified>
</cp:coreProperties>
</file>